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070" activeTab="0"/>
  </bookViews>
  <sheets>
    <sheet name="PowerUsage" sheetId="1" r:id="rId1"/>
    <sheet name="Cost" sheetId="2" r:id="rId2"/>
    <sheet name="Sheet3" sheetId="3" r:id="rId3"/>
  </sheets>
  <definedNames>
    <definedName name="SHEET_TITLE" localSheetId="0">"PowerUsage"</definedName>
    <definedName name="_xlnm.Print_Area" localSheetId="0">'PowerUsage'!$A:$IV</definedName>
    <definedName name="SHEET_TITLE" localSheetId="1">"Cost"</definedName>
    <definedName name="_xlnm.Print_Area" localSheetId="1">'Cost'!$A:$IV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<sst xmlns="http://schemas.openxmlformats.org/spreadsheetml/2006/main" count="339" uniqueCount="205">
  <si>
    <t>Calc</t>
  </si>
  <si>
    <t>"Gaia" - Dual 400Mhz Pentium2, 386MB RAM, 120GB IDE drive, 9GB 7.2k RPM SCSI drive, 2 NICs, 802.11</t>
  </si>
  <si>
    <t>Photo printer</t>
  </si>
  <si>
    <t>off</t>
  </si>
  <si>
    <t>?</t>
  </si>
  <si>
    <t>Series1 TiVo (hacked w/ 2drives)</t>
  </si>
  <si>
    <t>On/Idle</t>
  </si>
  <si>
    <t>Kitchen Lights Main</t>
  </si>
  <si>
    <t>replace 90W bulbs with CF</t>
  </si>
  <si>
    <t>done</t>
  </si>
  <si>
    <t>Dell Thinkpad T42</t>
  </si>
  <si>
    <t>Charging</t>
  </si>
  <si>
    <t>Dimmable Philips Marathon R40</t>
  </si>
  <si>
    <t>Yamaha stereo</t>
  </si>
  <si>
    <t>On</t>
  </si>
  <si>
    <t>Bedroom Bedside Lamp</t>
  </si>
  <si>
    <t>on</t>
  </si>
  <si>
    <t>Unplug unused power brick</t>
  </si>
  <si>
    <t>Remove a processor and configure one of the harddrives to spindown when not in-use</t>
  </si>
  <si>
    <t>TOTAL SAVINGS</t>
  </si>
  <si>
    <t>TV:  42" 480p Plasma</t>
  </si>
  <si>
    <t>On (mostly black)</t>
  </si>
  <si>
    <t>Downstairs computer</t>
  </si>
  <si>
    <t>switch os to ssd</t>
  </si>
  <si>
    <t>future</t>
  </si>
  <si>
    <t>CF</t>
  </si>
  <si>
    <t>on (est.)</t>
  </si>
  <si>
    <t>Switch OS drive to SSD</t>
  </si>
  <si>
    <t>Monitor: 24" (Dell)</t>
  </si>
  <si>
    <t>standby</t>
  </si>
  <si>
    <t xml:space="preserve">Try dimmable CF  (Philips, PAR38?) </t>
  </si>
  <si>
    <t>Bedroom</t>
  </si>
  <si>
    <t>PowerBricks</t>
  </si>
  <si>
    <t>Avg</t>
  </si>
  <si>
    <t>DVD Player</t>
  </si>
  <si>
    <t>Off</t>
  </si>
  <si>
    <t>Cable Modem</t>
  </si>
  <si>
    <t>$/Kwh</t>
  </si>
  <si>
    <t>Kwh</t>
  </si>
  <si>
    <t>Hours</t>
  </si>
  <si>
    <t>AvgWatts</t>
  </si>
  <si>
    <t>Galaxia+UPS</t>
  </si>
  <si>
    <t>on/idle</t>
  </si>
  <si>
    <t>Pentium4 2.8Ghz, 1G RAM, 4 drives ; range=130-150</t>
  </si>
  <si>
    <t>Ethernet switch (5port, 100M)</t>
  </si>
  <si>
    <t>Hallway and Bathroom to CF</t>
  </si>
  <si>
    <t>(some prev on CF)</t>
  </si>
  <si>
    <t>Ksu Dell</t>
  </si>
  <si>
    <t>Idle/Charged</t>
  </si>
  <si>
    <t>Subwoofer</t>
  </si>
  <si>
    <t>Idle/Off</t>
  </si>
  <si>
    <t>Turn off when not used</t>
  </si>
  <si>
    <t>Refrigerator</t>
  </si>
  <si>
    <t xml:space="preserve">Avg </t>
  </si>
  <si>
    <t>Upstairs bathroom</t>
  </si>
  <si>
    <t>guess (check)</t>
  </si>
  <si>
    <t>4.12 Kwh over 47.5 hr, federal std for size is 560 Kwh/year</t>
  </si>
  <si>
    <t>Setup Galaxia scratch drive to spindown when idle</t>
  </si>
  <si>
    <t>TODO</t>
  </si>
  <si>
    <t>Unplug when not in-use</t>
  </si>
  <si>
    <t>todo</t>
  </si>
  <si>
    <t>Done</t>
  </si>
  <si>
    <t>XX</t>
  </si>
  <si>
    <t>Suspended/Idle</t>
  </si>
  <si>
    <t>Kitchen Lights Secondary</t>
  </si>
  <si>
    <t>Palm charger brick</t>
  </si>
  <si>
    <t xml:space="preserve">Air purifier </t>
  </si>
  <si>
    <t>On Medium</t>
  </si>
  <si>
    <t>SmartHome Light Module</t>
  </si>
  <si>
    <t>Idle</t>
  </si>
  <si>
    <t>90W=Max, 51W=Low</t>
  </si>
  <si>
    <t>X</t>
  </si>
  <si>
    <t>Switch</t>
  </si>
  <si>
    <t>Voltage</t>
  </si>
  <si>
    <t>Galaxia: two drives</t>
  </si>
  <si>
    <t>on vs spun-down</t>
  </si>
  <si>
    <t>Elliptical trainer</t>
  </si>
  <si>
    <t xml:space="preserve">Office halogen </t>
  </si>
  <si>
    <t>TBD</t>
  </si>
  <si>
    <t>TiVo Series2 (w/ 1 drive)</t>
  </si>
  <si>
    <t>Cable to auto turn off</t>
  </si>
  <si>
    <t>Fridge high (double-chk)</t>
  </si>
  <si>
    <t>Running</t>
  </si>
  <si>
    <t>Upstairs hallway</t>
  </si>
  <si>
    <t>Setup windows box to standby after 2 hours</t>
  </si>
  <si>
    <t>ToDo</t>
  </si>
  <si>
    <t>Stereo Amp</t>
  </si>
  <si>
    <t>Electric Dryer</t>
  </si>
  <si>
    <t>Estimate</t>
  </si>
  <si>
    <t>Living Room Lights: Wall</t>
  </si>
  <si>
    <t>(Typical in 5000W-5500W for electric, mostly from heating element), 16 loads/month, 1hr/load</t>
  </si>
  <si>
    <t>Cordless phone</t>
  </si>
  <si>
    <t>Idle or on-call</t>
  </si>
  <si>
    <t>X10 Appliance Module</t>
  </si>
  <si>
    <t xml:space="preserve">TiVo </t>
  </si>
  <si>
    <t>Monitor (12" LCD)</t>
  </si>
  <si>
    <t>Off (PS)</t>
  </si>
  <si>
    <t>Total Kwh/month</t>
  </si>
  <si>
    <t>Scanner</t>
  </si>
  <si>
    <t>idle</t>
  </si>
  <si>
    <t>Holiday Lights</t>
  </si>
  <si>
    <t>Downstairs Router</t>
  </si>
  <si>
    <t>Avg (Display off)</t>
  </si>
  <si>
    <t>Gigabit switch</t>
  </si>
  <si>
    <t>Future</t>
  </si>
  <si>
    <t>Replace (EnergyStar)</t>
  </si>
  <si>
    <t>Office halogen</t>
  </si>
  <si>
    <t>Reduce power usgae of galaxia</t>
  </si>
  <si>
    <t>(eg, lower power CPU)</t>
  </si>
  <si>
    <t>Replace with CF torchiere?</t>
  </si>
  <si>
    <t>Home Office (Computers)</t>
  </si>
  <si>
    <t>Total</t>
  </si>
  <si>
    <t>(Measured at 13A+ in worst-case...)</t>
  </si>
  <si>
    <t>Replace (gas/EnergyStar)</t>
  </si>
  <si>
    <t>Living Room Lights: Lamp</t>
  </si>
  <si>
    <t>Varelse (Windows PC)</t>
  </si>
  <si>
    <t>on/idle (approx)</t>
  </si>
  <si>
    <t>Dell Intel x86 2.8Ghz 1GB RAM, 1 drive</t>
  </si>
  <si>
    <t>Computer (2Ghz Celeron)</t>
  </si>
  <si>
    <t>"Komarr" - 2Ghz Celeron, 512MB RAM, 60GB drive</t>
  </si>
  <si>
    <t>USB hub</t>
  </si>
  <si>
    <t>idle/unused</t>
  </si>
  <si>
    <t>Xmas lights (100 sm bulb)</t>
  </si>
  <si>
    <t>Home Theater</t>
  </si>
  <si>
    <t>Total after power savings</t>
  </si>
  <si>
    <t>Avg (Display unplugged, 1cpu)</t>
  </si>
  <si>
    <t>3.73Kwh over 23.5 hr</t>
  </si>
  <si>
    <t>Xerox laser printer</t>
  </si>
  <si>
    <t>powerup</t>
  </si>
  <si>
    <t>Uses 7A on powerup...  Move to separate circuit?</t>
  </si>
  <si>
    <t>Replace computer (ssd, low-power, suspend)</t>
  </si>
  <si>
    <t>Microwave</t>
  </si>
  <si>
    <t>Check</t>
  </si>
  <si>
    <t>Office chair-side lamp</t>
  </si>
  <si>
    <t>Everything on (printers, stereo, computers, monitors)</t>
  </si>
  <si>
    <t>Playing Music x5</t>
  </si>
  <si>
    <t>Electric Washer</t>
  </si>
  <si>
    <t>Foyer/Entryway Light</t>
  </si>
  <si>
    <t>busy (approx)</t>
  </si>
  <si>
    <t>Antenna</t>
  </si>
  <si>
    <t>Circuit</t>
  </si>
  <si>
    <t>Grp</t>
  </si>
  <si>
    <t>Device</t>
  </si>
  <si>
    <t>Mode</t>
  </si>
  <si>
    <t>Main</t>
  </si>
  <si>
    <t>Save</t>
  </si>
  <si>
    <t>Hrs/day</t>
  </si>
  <si>
    <t>Watts</t>
  </si>
  <si>
    <t>Wh/day</t>
  </si>
  <si>
    <t>Kwh/month</t>
  </si>
  <si>
    <t>UsagePct</t>
  </si>
  <si>
    <t>Monitor: 17" (Dell)</t>
  </si>
  <si>
    <t>Kwh/year</t>
  </si>
  <si>
    <t>Cost/3y</t>
  </si>
  <si>
    <t>Cost/y</t>
  </si>
  <si>
    <t>AvgWatt</t>
  </si>
  <si>
    <t>Duty</t>
  </si>
  <si>
    <t>PF</t>
  </si>
  <si>
    <t>Notes</t>
  </si>
  <si>
    <t>Proposed Change</t>
  </si>
  <si>
    <t>Retire / turn off</t>
  </si>
  <si>
    <t>Passive</t>
  </si>
  <si>
    <t>Computer (boot)</t>
  </si>
  <si>
    <t>Max on boot</t>
  </si>
  <si>
    <t>on (est/cycles)</t>
  </si>
  <si>
    <t>Varies 18W-700W</t>
  </si>
  <si>
    <t>Dishwasher</t>
  </si>
  <si>
    <t>Approx min idle (galaxia on, printer off, monitor standby)</t>
  </si>
  <si>
    <t>UPS+Switch+...</t>
  </si>
  <si>
    <t>Air Conditioner (Summer)</t>
  </si>
  <si>
    <t>Bedroom Ceiling</t>
  </si>
  <si>
    <t>Alarm clock</t>
  </si>
  <si>
    <t>Retire</t>
  </si>
  <si>
    <t>TurnedOn</t>
  </si>
  <si>
    <t>Computer (normal)</t>
  </si>
  <si>
    <t>powersave</t>
  </si>
  <si>
    <t>Lab / S1-TiVo</t>
  </si>
  <si>
    <t>Toaster/Toaster Oven</t>
  </si>
  <si>
    <t>Laptops</t>
  </si>
  <si>
    <t>Other</t>
  </si>
  <si>
    <t>Window Fans (Summer)</t>
  </si>
  <si>
    <t>On (mostly white)</t>
  </si>
  <si>
    <t>Singleproc &amp; spindown drive</t>
  </si>
  <si>
    <t>Lights</t>
  </si>
  <si>
    <t>TurnedOn (Sum)</t>
  </si>
  <si>
    <t>Computer (post remove CPU)</t>
  </si>
  <si>
    <t>1A</t>
  </si>
  <si>
    <t>ErikHigh</t>
  </si>
  <si>
    <t>Price/KWh</t>
  </si>
  <si>
    <t>generation</t>
  </si>
  <si>
    <t>ErikLow</t>
  </si>
  <si>
    <t>$$$ / TonCO2</t>
  </si>
  <si>
    <t>Amp avg</t>
  </si>
  <si>
    <t>W avg</t>
  </si>
  <si>
    <t>delivery</t>
  </si>
  <si>
    <t>$/month</t>
  </si>
  <si>
    <t>$/year</t>
  </si>
  <si>
    <t>$/3years</t>
  </si>
  <si>
    <t>LbsCO2/y</t>
  </si>
  <si>
    <t>TonCO2/y</t>
  </si>
  <si>
    <t>CO2Offset/y</t>
  </si>
  <si>
    <t>100W</t>
  </si>
  <si>
    <t>ErikMed</t>
  </si>
  <si>
    <t>TOTAL</t>
  </si>
  <si>
    <t>Pounds CO2/KWh</t>
  </si>
</sst>
</file>

<file path=xl/styles.xml><?xml version="1.0" encoding="utf-8"?>
<styleSheet xmlns="http://schemas.openxmlformats.org/spreadsheetml/2006/main">
  <numFmts count="15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_(&quot;$&quot;* #,##0_);_(&quot;$&quot;* (#,##0);_(&quot;$&quot;* &quot;-&quot;??_);_(@_)"/>
    <numFmt numFmtId="51" formatCode="#,##0.0"/>
    <numFmt numFmtId="52" formatCode="_(&quot;$&quot;* #,##0.00_);_(&quot;$&quot;* (#,##0.00);_(&quot;$&quot;* &quot;-&quot;??_);_(@_)"/>
    <numFmt numFmtId="53" formatCode="0.0%"/>
    <numFmt numFmtId="54" formatCode="#,##0.000"/>
    <numFmt numFmtId="55" formatCode="0.000_);(0.000)"/>
    <numFmt numFmtId="56" formatCode="#,##0.0_);(#,##0.0)"/>
  </numFmts>
  <fonts count="4">
    <font>
      <sz val="10"/>
      <color indexed="8"/>
      <name val="Sans"/>
      <family val="0"/>
    </font>
    <font>
      <sz val="10"/>
      <color indexed="60"/>
      <name val="Sans"/>
      <family val="0"/>
    </font>
    <font>
      <b/>
      <sz val="10"/>
      <color indexed="8"/>
      <name val="Sans"/>
      <family val="0"/>
    </font>
    <font>
      <b/>
      <sz val="10"/>
      <color indexed="60"/>
      <name val="Sans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0" fontId="2" fillId="3" borderId="1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54" fontId="0" fillId="3" borderId="2" xfId="0" applyNumberFormat="1" applyFont="1" applyFill="1" applyBorder="1" applyAlignment="1" applyProtection="1">
      <alignment/>
      <protection/>
    </xf>
    <xf numFmtId="51" fontId="1" fillId="4" borderId="0" xfId="0" applyNumberFormat="1" applyFont="1" applyFill="1" applyBorder="1" applyAlignment="1" applyProtection="1">
      <alignment/>
      <protection/>
    </xf>
    <xf numFmtId="10" fontId="0" fillId="5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1" fillId="5" borderId="3" xfId="0" applyNumberFormat="1" applyFont="1" applyFill="1" applyBorder="1" applyAlignment="1" applyProtection="1">
      <alignment/>
      <protection/>
    </xf>
    <xf numFmtId="0" fontId="2" fillId="6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/>
      <protection/>
    </xf>
    <xf numFmtId="3" fontId="0" fillId="7" borderId="0" xfId="0" applyNumberFormat="1" applyFont="1" applyFill="1" applyBorder="1" applyAlignment="1" applyProtection="1">
      <alignment/>
      <protection/>
    </xf>
    <xf numFmtId="9" fontId="0" fillId="5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0" fillId="8" borderId="0" xfId="0" applyNumberFormat="1" applyFont="1" applyFill="1" applyBorder="1" applyAlignment="1" applyProtection="1">
      <alignment horizontal="center"/>
      <protection/>
    </xf>
    <xf numFmtId="51" fontId="0" fillId="8" borderId="0" xfId="0" applyNumberFormat="1" applyFont="1" applyFill="1" applyBorder="1" applyAlignment="1" applyProtection="1">
      <alignment/>
      <protection/>
    </xf>
    <xf numFmtId="0" fontId="2" fillId="9" borderId="0" xfId="0" applyNumberFormat="1" applyFont="1" applyFill="1" applyBorder="1" applyAlignment="1" applyProtection="1">
      <alignment/>
      <protection/>
    </xf>
    <xf numFmtId="0" fontId="3" fillId="6" borderId="0" xfId="0" applyNumberFormat="1" applyFont="1" applyFill="1" applyBorder="1" applyAlignment="1" applyProtection="1">
      <alignment horizontal="right"/>
      <protection/>
    </xf>
    <xf numFmtId="10" fontId="2" fillId="7" borderId="0" xfId="0" applyNumberFormat="1" applyFont="1" applyFill="1" applyBorder="1" applyAlignment="1" applyProtection="1">
      <alignment/>
      <protection/>
    </xf>
    <xf numFmtId="0" fontId="0" fillId="7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51" fontId="0" fillId="7" borderId="0" xfId="0" applyNumberFormat="1" applyFont="1" applyFill="1" applyBorder="1" applyAlignment="1" applyProtection="1">
      <alignment/>
      <protection/>
    </xf>
    <xf numFmtId="51" fontId="0" fillId="4" borderId="0" xfId="0" applyNumberFormat="1" applyFont="1" applyFill="1" applyBorder="1" applyAlignment="1" applyProtection="1">
      <alignment/>
      <protection/>
    </xf>
    <xf numFmtId="9" fontId="0" fillId="4" borderId="0" xfId="0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  <xf numFmtId="10" fontId="0" fillId="7" borderId="0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/>
      <protection/>
    </xf>
    <xf numFmtId="0" fontId="2" fillId="5" borderId="5" xfId="0" applyNumberFormat="1" applyFont="1" applyFill="1" applyBorder="1" applyAlignment="1" applyProtection="1">
      <alignment/>
      <protection/>
    </xf>
    <xf numFmtId="3" fontId="0" fillId="8" borderId="0" xfId="0" applyNumberFormat="1" applyFont="1" applyFill="1" applyBorder="1" applyAlignment="1" applyProtection="1">
      <alignment/>
      <protection/>
    </xf>
    <xf numFmtId="0" fontId="1" fillId="3" borderId="6" xfId="0" applyNumberFormat="1" applyFont="1" applyFill="1" applyBorder="1" applyAlignment="1" applyProtection="1">
      <alignment/>
      <protection/>
    </xf>
    <xf numFmtId="10" fontId="2" fillId="4" borderId="0" xfId="0" applyNumberFormat="1" applyFont="1" applyFill="1" applyBorder="1" applyAlignment="1" applyProtection="1">
      <alignment/>
      <protection/>
    </xf>
    <xf numFmtId="10" fontId="0" fillId="8" borderId="0" xfId="0" applyNumberFormat="1" applyFont="1" applyFill="1" applyBorder="1" applyAlignment="1" applyProtection="1">
      <alignment/>
      <protection/>
    </xf>
    <xf numFmtId="50" fontId="0" fillId="5" borderId="0" xfId="0" applyNumberFormat="1" applyFont="1" applyFill="1" applyBorder="1" applyAlignment="1" applyProtection="1">
      <alignment/>
      <protection/>
    </xf>
    <xf numFmtId="0" fontId="0" fillId="5" borderId="7" xfId="0" applyNumberFormat="1" applyFont="1" applyFill="1" applyBorder="1" applyAlignment="1" applyProtection="1">
      <alignment/>
      <protection/>
    </xf>
    <xf numFmtId="3" fontId="2" fillId="5" borderId="0" xfId="0" applyNumberFormat="1" applyFont="1" applyFill="1" applyBorder="1" applyAlignment="1" applyProtection="1">
      <alignment/>
      <protection/>
    </xf>
    <xf numFmtId="51" fontId="2" fillId="4" borderId="0" xfId="0" applyNumberFormat="1" applyFont="1" applyFill="1" applyBorder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 horizontal="center"/>
      <protection/>
    </xf>
    <xf numFmtId="9" fontId="2" fillId="4" borderId="0" xfId="0" applyNumberFormat="1" applyFont="1" applyFill="1" applyBorder="1" applyAlignment="1" applyProtection="1">
      <alignment/>
      <protection/>
    </xf>
    <xf numFmtId="52" fontId="2" fillId="7" borderId="0" xfId="0" applyNumberFormat="1" applyFont="1" applyFill="1" applyBorder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0" fontId="0" fillId="3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9" fontId="0" fillId="7" borderId="0" xfId="0" applyNumberFormat="1" applyFont="1" applyFill="1" applyBorder="1" applyAlignment="1" applyProtection="1">
      <alignment/>
      <protection/>
    </xf>
    <xf numFmtId="0" fontId="1" fillId="8" borderId="0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 applyProtection="1">
      <alignment/>
      <protection/>
    </xf>
    <xf numFmtId="52" fontId="0" fillId="5" borderId="0" xfId="0" applyNumberFormat="1" applyFont="1" applyFill="1" applyBorder="1" applyAlignment="1" applyProtection="1">
      <alignment/>
      <protection/>
    </xf>
    <xf numFmtId="52" fontId="1" fillId="5" borderId="3" xfId="0" applyNumberFormat="1" applyFont="1" applyFill="1" applyBorder="1" applyAlignment="1" applyProtection="1">
      <alignment/>
      <protection/>
    </xf>
    <xf numFmtId="51" fontId="1" fillId="5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9" fontId="0" fillId="8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5" borderId="0" xfId="0" applyNumberFormat="1" applyFont="1" applyFill="1" applyBorder="1" applyAlignment="1" applyProtection="1">
      <alignment horizontal="center"/>
      <protection/>
    </xf>
    <xf numFmtId="53" fontId="2" fillId="5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0" fillId="3" borderId="9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3" fontId="2" fillId="6" borderId="0" xfId="0" applyNumberFormat="1" applyFont="1" applyFill="1" applyBorder="1" applyAlignment="1" applyProtection="1">
      <alignment horizontal="right"/>
      <protection/>
    </xf>
    <xf numFmtId="0" fontId="1" fillId="4" borderId="0" xfId="0" applyNumberFormat="1" applyFont="1" applyFill="1" applyBorder="1" applyAlignment="1" applyProtection="1">
      <alignment/>
      <protection/>
    </xf>
    <xf numFmtId="1" fontId="2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52" fontId="2" fillId="4" borderId="0" xfId="0" applyNumberFormat="1" applyFont="1" applyFill="1" applyBorder="1" applyAlignment="1" applyProtection="1">
      <alignment/>
      <protection/>
    </xf>
    <xf numFmtId="3" fontId="3" fillId="5" borderId="10" xfId="0" applyNumberFormat="1" applyFont="1" applyFill="1" applyBorder="1" applyAlignment="1" applyProtection="1">
      <alignment/>
      <protection/>
    </xf>
    <xf numFmtId="0" fontId="0" fillId="7" borderId="0" xfId="0" applyNumberFormat="1" applyFont="1" applyFill="1" applyBorder="1" applyAlignment="1" applyProtection="1">
      <alignment/>
      <protection/>
    </xf>
    <xf numFmtId="51" fontId="0" fillId="5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0" fontId="2" fillId="8" borderId="0" xfId="0" applyNumberFormat="1" applyFont="1" applyFill="1" applyBorder="1" applyAlignment="1" applyProtection="1">
      <alignment/>
      <protection/>
    </xf>
    <xf numFmtId="0" fontId="2" fillId="5" borderId="0" xfId="0" applyNumberFormat="1" applyFont="1" applyFill="1" applyBorder="1" applyAlignment="1" applyProtection="1">
      <alignment/>
      <protection/>
    </xf>
    <xf numFmtId="51" fontId="0" fillId="3" borderId="11" xfId="0" applyNumberFormat="1" applyFont="1" applyFill="1" applyBorder="1" applyAlignment="1" applyProtection="1">
      <alignment/>
      <protection/>
    </xf>
    <xf numFmtId="52" fontId="0" fillId="7" borderId="0" xfId="0" applyNumberFormat="1" applyFont="1" applyFill="1" applyBorder="1" applyAlignment="1" applyProtection="1">
      <alignment/>
      <protection/>
    </xf>
    <xf numFmtId="52" fontId="2" fillId="8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6" borderId="0" xfId="0" applyNumberFormat="1" applyFont="1" applyFill="1" applyBorder="1" applyAlignment="1" applyProtection="1">
      <alignment horizontal="right"/>
      <protection/>
    </xf>
    <xf numFmtId="0" fontId="0" fillId="4" borderId="0" xfId="0" applyNumberFormat="1" applyFont="1" applyFill="1" applyBorder="1" applyAlignment="1" applyProtection="1">
      <alignment/>
      <protection/>
    </xf>
    <xf numFmtId="52" fontId="0" fillId="8" borderId="0" xfId="0" applyNumberFormat="1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53" fontId="0" fillId="5" borderId="0" xfId="0" applyNumberFormat="1" applyFont="1" applyFill="1" applyBorder="1" applyAlignment="1" applyProtection="1">
      <alignment/>
      <protection/>
    </xf>
    <xf numFmtId="4" fontId="0" fillId="7" borderId="0" xfId="0" applyNumberFormat="1" applyFont="1" applyFill="1" applyBorder="1" applyAlignment="1" applyProtection="1">
      <alignment/>
      <protection/>
    </xf>
    <xf numFmtId="0" fontId="2" fillId="6" borderId="0" xfId="0" applyNumberFormat="1" applyFont="1" applyFill="1" applyBorder="1" applyAlignment="1" applyProtection="1">
      <alignment horizontal="center"/>
      <protection/>
    </xf>
    <xf numFmtId="3" fontId="0" fillId="3" borderId="12" xfId="0" applyNumberFormat="1" applyFont="1" applyFill="1" applyBorder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/>
      <protection/>
    </xf>
    <xf numFmtId="51" fontId="3" fillId="4" borderId="0" xfId="0" applyNumberFormat="1" applyFont="1" applyFill="1" applyBorder="1" applyAlignment="1" applyProtection="1">
      <alignment/>
      <protection/>
    </xf>
    <xf numFmtId="10" fontId="0" fillId="4" borderId="0" xfId="0" applyNumberFormat="1" applyFont="1" applyFill="1" applyBorder="1" applyAlignment="1" applyProtection="1">
      <alignment/>
      <protection/>
    </xf>
    <xf numFmtId="51" fontId="2" fillId="2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/>
      <protection/>
    </xf>
    <xf numFmtId="0" fontId="0" fillId="9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2" fontId="2" fillId="5" borderId="0" xfId="0" applyNumberFormat="1" applyFont="1" applyFill="1" applyBorder="1" applyAlignment="1" applyProtection="1">
      <alignment/>
      <protection/>
    </xf>
    <xf numFmtId="3" fontId="0" fillId="5" borderId="0" xfId="0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/>
    </xf>
    <xf numFmtId="10" fontId="2" fillId="8" borderId="0" xfId="0" applyNumberFormat="1" applyFont="1" applyFill="1" applyBorder="1" applyAlignment="1" applyProtection="1">
      <alignment/>
      <protection/>
    </xf>
    <xf numFmtId="50" fontId="2" fillId="5" borderId="0" xfId="0" applyNumberFormat="1" applyFont="1" applyFill="1" applyBorder="1" applyAlignment="1" applyProtection="1">
      <alignment/>
      <protection/>
    </xf>
    <xf numFmtId="52" fontId="0" fillId="4" borderId="0" xfId="0" applyNumberFormat="1" applyFont="1" applyFill="1" applyBorder="1" applyAlignment="1" applyProtection="1">
      <alignment/>
      <protection/>
    </xf>
    <xf numFmtId="54" fontId="2" fillId="0" borderId="0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0" fontId="0" fillId="10" borderId="1" xfId="0" applyNumberFormat="1" applyFont="1" applyFill="1" applyBorder="1" applyAlignment="1" applyProtection="1">
      <alignment/>
      <protection/>
    </xf>
    <xf numFmtId="0" fontId="2" fillId="10" borderId="13" xfId="0" applyNumberFormat="1" applyFont="1" applyFill="1" applyBorder="1" applyAlignment="1" applyProtection="1">
      <alignment/>
      <protection/>
    </xf>
    <xf numFmtId="0" fontId="0" fillId="10" borderId="2" xfId="0" applyNumberFormat="1" applyFont="1" applyFill="1" applyBorder="1" applyAlignment="1" applyProtection="1">
      <alignment/>
      <protection/>
    </xf>
    <xf numFmtId="0" fontId="2" fillId="10" borderId="14" xfId="0" applyNumberFormat="1" applyFont="1" applyFill="1" applyBorder="1" applyAlignment="1" applyProtection="1">
      <alignment/>
      <protection/>
    </xf>
    <xf numFmtId="52" fontId="2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 horizontal="right"/>
      <protection/>
    </xf>
    <xf numFmtId="55" fontId="0" fillId="0" borderId="0" xfId="0" applyNumberFormat="1" applyFont="1" applyFill="1" applyBorder="1" applyAlignment="1" applyProtection="1">
      <alignment horizontal="right"/>
      <protection/>
    </xf>
    <xf numFmtId="0" fontId="0" fillId="10" borderId="14" xfId="0" applyNumberFormat="1" applyFont="1" applyFill="1" applyBorder="1" applyAlignment="1" applyProtection="1">
      <alignment/>
      <protection/>
    </xf>
    <xf numFmtId="52" fontId="2" fillId="10" borderId="8" xfId="0" applyNumberFormat="1" applyFont="1" applyFill="1" applyBorder="1" applyAlignment="1" applyProtection="1">
      <alignment/>
      <protection/>
    </xf>
    <xf numFmtId="0" fontId="2" fillId="10" borderId="9" xfId="0" applyNumberFormat="1" applyFont="1" applyFill="1" applyBorder="1" applyAlignment="1" applyProtection="1">
      <alignment/>
      <protection/>
    </xf>
    <xf numFmtId="0" fontId="2" fillId="10" borderId="15" xfId="0" applyNumberFormat="1" applyFont="1" applyFill="1" applyBorder="1" applyAlignment="1" applyProtection="1">
      <alignment/>
      <protection/>
    </xf>
    <xf numFmtId="0" fontId="0" fillId="10" borderId="0" xfId="0" applyNumberFormat="1" applyFont="1" applyFill="1" applyBorder="1" applyAlignment="1" applyProtection="1">
      <alignment/>
      <protection/>
    </xf>
    <xf numFmtId="0" fontId="2" fillId="10" borderId="0" xfId="0" applyNumberFormat="1" applyFont="1" applyFill="1" applyBorder="1" applyAlignment="1" applyProtection="1">
      <alignment/>
      <protection/>
    </xf>
    <xf numFmtId="52" fontId="0" fillId="10" borderId="6" xfId="0" applyNumberFormat="1" applyFont="1" applyFill="1" applyBorder="1" applyAlignment="1" applyProtection="1">
      <alignment/>
      <protection/>
    </xf>
    <xf numFmtId="0" fontId="0" fillId="10" borderId="13" xfId="0" applyNumberFormat="1" applyFont="1" applyFill="1" applyBorder="1" applyAlignment="1" applyProtection="1">
      <alignment/>
      <protection/>
    </xf>
    <xf numFmtId="0" fontId="0" fillId="10" borderId="12" xfId="0" applyNumberFormat="1" applyFont="1" applyFill="1" applyBorder="1" applyAlignment="1" applyProtection="1">
      <alignment/>
      <protection/>
    </xf>
    <xf numFmtId="51" fontId="2" fillId="0" borderId="0" xfId="0" applyNumberFormat="1" applyFont="1" applyFill="1" applyBorder="1" applyAlignment="1" applyProtection="1">
      <alignment/>
      <protection/>
    </xf>
    <xf numFmtId="0" fontId="0" fillId="10" borderId="4" xfId="0" applyNumberFormat="1" applyFont="1" applyFill="1" applyBorder="1" applyAlignment="1" applyProtection="1">
      <alignment/>
      <protection/>
    </xf>
    <xf numFmtId="52" fontId="2" fillId="10" borderId="11" xfId="0" applyNumberFormat="1" applyFont="1" applyFill="1" applyBorder="1" applyAlignment="1" applyProtection="1">
      <alignment/>
      <protection/>
    </xf>
    <xf numFmtId="56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52" fontId="0" fillId="1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300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v>Power Usage Break-Down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PowerUsage!$B$8:$B$145</c:f>
              <c:strCache/>
            </c:strRef>
          </c:cat>
          <c:val>
            <c:numRef>
              <c:f>PowerUsage!$L$8:$L$145</c:f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154</xdr:row>
      <xdr:rowOff>76200</xdr:rowOff>
    </xdr:from>
    <xdr:to>
      <xdr:col>14</xdr:col>
      <xdr:colOff>438150</xdr:colOff>
      <xdr:row>182</xdr:row>
      <xdr:rowOff>152400</xdr:rowOff>
    </xdr:to>
    <xdr:graphicFrame>
      <xdr:nvGraphicFramePr>
        <xdr:cNvPr id="1" name="Chart 1"/>
        <xdr:cNvGraphicFramePr/>
      </xdr:nvGraphicFramePr>
      <xdr:xfrm>
        <a:off x="1095375" y="26441400"/>
        <a:ext cx="108108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zoomScaleSheetLayoutView="1" workbookViewId="0" topLeftCell="A1">
      <pane xSplit="8" ySplit="6" topLeftCell="I7" activePane="bottomRight" state="frozen"/>
      <selection pane="topLeft" activeCell="B1" sqref="B1"/>
      <selection pane="topRight" activeCell="I1" sqref="I1"/>
      <selection pane="bottomLeft" activeCell="B7" sqref="B7"/>
      <selection pane="bottomRight" activeCell="B1" sqref="B1"/>
    </sheetView>
  </sheetViews>
  <sheetFormatPr defaultColWidth="9.00390625" defaultRowHeight="12.75"/>
  <cols>
    <col min="1" max="1" width="4.25390625" style="1" customWidth="1"/>
    <col min="2" max="2" width="6.125" style="1" customWidth="1"/>
    <col min="3" max="3" width="29.625" style="1" customWidth="1"/>
    <col min="4" max="4" width="18.375" style="1" customWidth="1"/>
    <col min="5" max="5" width="7.375" style="1" customWidth="1"/>
    <col min="6" max="6" width="6.125" style="88" customWidth="1"/>
    <col min="7" max="7" width="9.125" style="1" customWidth="1"/>
    <col min="8" max="8" width="7.875" style="1" customWidth="1"/>
    <col min="9" max="9" width="10.875" style="21" customWidth="1"/>
    <col min="10" max="10" width="13.25390625" style="44" customWidth="1"/>
    <col min="11" max="11" width="13.25390625" style="26" customWidth="1"/>
    <col min="12" max="12" width="13.25390625" style="26" hidden="1" customWidth="1"/>
    <col min="13" max="13" width="11.00390625" style="1" customWidth="1"/>
    <col min="14" max="14" width="13.25390625" style="1" customWidth="1"/>
    <col min="15" max="15" width="10.625" style="1" customWidth="1"/>
    <col min="16" max="16" width="10.00390625" style="1" customWidth="1"/>
    <col min="17" max="18" width="9.125" style="1" customWidth="1"/>
    <col min="19" max="19" width="101.125" style="1" customWidth="1"/>
    <col min="20" max="20" width="35.375" style="1" customWidth="1"/>
    <col min="21" max="256" width="9.125" style="1" customWidth="1"/>
  </cols>
  <sheetData>
    <row r="1" spans="8:10" ht="13.5">
      <c r="H1" s="3" t="s">
        <v>0</v>
      </c>
      <c r="I1" s="81"/>
      <c r="J1" s="32"/>
    </row>
    <row r="2" spans="3:10" ht="13.5">
      <c r="C2" s="36" t="s">
        <v>37</v>
      </c>
      <c r="D2" s="49">
        <f>Cost!$D$4</f>
        <v>0.19</v>
      </c>
      <c r="H2" s="29" t="s">
        <v>38</v>
      </c>
      <c r="I2" s="25" t="s">
        <v>39</v>
      </c>
      <c r="J2" s="43" t="s">
        <v>40</v>
      </c>
    </row>
    <row r="3" spans="3:15" ht="13.5">
      <c r="C3" s="36" t="s">
        <v>73</v>
      </c>
      <c r="D3" s="9">
        <f>Cost!$D$5</f>
        <v>114.2</v>
      </c>
      <c r="F3" s="88"/>
      <c r="H3" s="57">
        <v>2.35</v>
      </c>
      <c r="I3" s="5">
        <v>25</v>
      </c>
      <c r="J3" s="70">
        <f>1000*H3/I3</f>
        <v>94</v>
      </c>
      <c r="O3" s="67"/>
    </row>
    <row r="4" spans="3:16" ht="13.5">
      <c r="C4" s="30" t="s">
        <v>97</v>
      </c>
      <c r="D4" s="64">
        <f>Cost!$D$11</f>
        <v>850</v>
      </c>
      <c r="J4" s="1"/>
      <c r="K4" s="27">
        <f>SUMPRODUCT(K7:K145,E7:E145)</f>
        <v>0.9298688235294118</v>
      </c>
      <c r="L4" s="27">
        <f>SUMPRODUCT(L7:L145,E7:E145)</f>
        <v>0.9298688235294118</v>
      </c>
      <c r="M4" s="51">
        <f>1-K4</f>
        <v>0.0701311764705882</v>
      </c>
      <c r="P4" s="8">
        <f>SUM(P85:P94)+P82+SUM(P73:P81)</f>
        <v>240.05416666666667</v>
      </c>
    </row>
    <row r="5" ht="12.75"/>
    <row r="6" spans="1:256" ht="13.5">
      <c r="A6" s="10" t="s">
        <v>140</v>
      </c>
      <c r="B6" s="10" t="s">
        <v>141</v>
      </c>
      <c r="C6" s="10" t="s">
        <v>142</v>
      </c>
      <c r="D6" s="74" t="s">
        <v>143</v>
      </c>
      <c r="E6" s="74" t="s">
        <v>144</v>
      </c>
      <c r="F6" s="80" t="s">
        <v>145</v>
      </c>
      <c r="G6" s="74" t="s">
        <v>146</v>
      </c>
      <c r="H6" s="74" t="s">
        <v>147</v>
      </c>
      <c r="I6" s="59" t="s">
        <v>148</v>
      </c>
      <c r="J6" s="18" t="s">
        <v>149</v>
      </c>
      <c r="K6" s="74" t="s">
        <v>150</v>
      </c>
      <c r="L6" s="74" t="s">
        <v>150</v>
      </c>
      <c r="M6" s="74" t="s">
        <v>152</v>
      </c>
      <c r="N6" s="74" t="s">
        <v>153</v>
      </c>
      <c r="O6" s="74" t="s">
        <v>154</v>
      </c>
      <c r="P6" s="74" t="s">
        <v>155</v>
      </c>
      <c r="Q6" s="74" t="s">
        <v>156</v>
      </c>
      <c r="R6" s="74" t="s">
        <v>157</v>
      </c>
      <c r="S6" s="74" t="s">
        <v>158</v>
      </c>
      <c r="T6" s="74" t="s">
        <v>159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0" ht="13.5">
      <c r="A7" s="58"/>
      <c r="B7" s="58"/>
      <c r="C7" s="58"/>
      <c r="D7" s="58"/>
      <c r="E7" s="58"/>
      <c r="F7" s="14"/>
      <c r="G7" s="58"/>
      <c r="H7" s="58"/>
      <c r="I7" s="42"/>
      <c r="J7" s="60"/>
      <c r="K7" s="75"/>
      <c r="L7" s="75"/>
      <c r="M7" s="75"/>
      <c r="N7" s="75"/>
      <c r="O7" s="75"/>
      <c r="P7" s="75"/>
      <c r="Q7" s="75"/>
      <c r="R7" s="58"/>
      <c r="S7" s="58"/>
      <c r="T7" s="58"/>
    </row>
    <row r="8" spans="1:256" ht="13.5">
      <c r="A8" s="11"/>
      <c r="B8" s="11" t="s">
        <v>183</v>
      </c>
      <c r="C8" s="11"/>
      <c r="D8" s="11" t="s">
        <v>33</v>
      </c>
      <c r="E8" s="11">
        <v>1</v>
      </c>
      <c r="F8" s="2"/>
      <c r="G8" s="11">
        <v>24</v>
      </c>
      <c r="H8" s="47">
        <f>SUMPRODUCT(G9:G21,H9:H21)/24</f>
        <v>174.91666666666666</v>
      </c>
      <c r="I8" s="4">
        <f>G8*H8</f>
        <v>4198</v>
      </c>
      <c r="J8" s="83">
        <f>I8*(365/12)/1000</f>
        <v>127.68916666666667</v>
      </c>
      <c r="K8" s="33">
        <f>J8/$D$4</f>
        <v>0.15022254901960785</v>
      </c>
      <c r="L8" s="33">
        <f>E8*J8/$D$4</f>
        <v>0.15022254901960785</v>
      </c>
      <c r="M8" s="38">
        <f>J8*12</f>
        <v>1532.27</v>
      </c>
      <c r="N8" s="63">
        <f>M8*$D$2*3</f>
        <v>873.3939</v>
      </c>
      <c r="O8" s="63">
        <f>$M8*$D$2</f>
        <v>291.1313</v>
      </c>
      <c r="P8" s="38">
        <f>Q8*H8</f>
        <v>174.91666666666666</v>
      </c>
      <c r="Q8" s="40">
        <f>G8/24</f>
        <v>1</v>
      </c>
      <c r="R8" s="11"/>
      <c r="S8" s="11"/>
      <c r="T8" s="11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0" ht="13.5">
      <c r="A9" s="58"/>
      <c r="B9" s="87" t="s">
        <v>25</v>
      </c>
      <c r="C9" s="58" t="s">
        <v>7</v>
      </c>
      <c r="D9" s="58" t="s">
        <v>26</v>
      </c>
      <c r="E9" s="58"/>
      <c r="F9" s="14"/>
      <c r="G9" s="58">
        <v>3</v>
      </c>
      <c r="H9" s="58">
        <f>90*2+30*3</f>
        <v>270</v>
      </c>
      <c r="I9" s="42">
        <f>G9*H9</f>
        <v>810</v>
      </c>
      <c r="J9" s="6">
        <f>I9*(365/12)/1000</f>
        <v>24.6375</v>
      </c>
      <c r="K9" s="84">
        <f>J9/$D$4</f>
        <v>0.028985294117647057</v>
      </c>
      <c r="L9" s="33">
        <f>E9*J9/$D$4</f>
        <v>0</v>
      </c>
      <c r="M9" s="23">
        <f>J9*12</f>
        <v>295.65</v>
      </c>
      <c r="N9" s="94">
        <f>M9*$D$2*3</f>
        <v>168.5205</v>
      </c>
      <c r="O9" s="63">
        <f>$M9*$D$2</f>
        <v>56.1735</v>
      </c>
      <c r="P9" s="23">
        <f>Q9*H9</f>
        <v>33.75</v>
      </c>
      <c r="Q9" s="24">
        <f>G9/24</f>
        <v>0.125</v>
      </c>
      <c r="R9" s="58"/>
      <c r="S9" s="58"/>
      <c r="T9" s="58" t="s">
        <v>30</v>
      </c>
    </row>
    <row r="10" spans="1:20" ht="13.5">
      <c r="A10" s="58"/>
      <c r="B10" s="87"/>
      <c r="C10" s="58" t="s">
        <v>64</v>
      </c>
      <c r="D10" s="58" t="s">
        <v>26</v>
      </c>
      <c r="E10" s="58"/>
      <c r="F10" s="14"/>
      <c r="G10" s="58">
        <v>6</v>
      </c>
      <c r="H10" s="58">
        <f>30*2</f>
        <v>60</v>
      </c>
      <c r="I10" s="42">
        <f>G10*H10</f>
        <v>360</v>
      </c>
      <c r="J10" s="6">
        <f>I10*(365/12)/1000</f>
        <v>10.95</v>
      </c>
      <c r="K10" s="84">
        <f>J10/$D$4</f>
        <v>0.01288235294117647</v>
      </c>
      <c r="L10" s="33">
        <f>E10*J10/$D$4</f>
        <v>0</v>
      </c>
      <c r="M10" s="23">
        <f>J10*12</f>
        <v>131.39999999999998</v>
      </c>
      <c r="N10" s="94">
        <f>M10*$D$2*3</f>
        <v>74.898</v>
      </c>
      <c r="O10" s="63">
        <f>$M10*$D$2</f>
        <v>24.965999999999998</v>
      </c>
      <c r="P10" s="23">
        <f>Q10*H10</f>
        <v>15</v>
      </c>
      <c r="Q10" s="24">
        <f>G10/24</f>
        <v>0.25</v>
      </c>
      <c r="R10" s="58"/>
      <c r="S10" s="58"/>
      <c r="T10" s="58"/>
    </row>
    <row r="11" spans="1:20" ht="13.5">
      <c r="A11" s="58"/>
      <c r="B11" s="87"/>
      <c r="C11" s="58" t="s">
        <v>89</v>
      </c>
      <c r="D11" s="58" t="s">
        <v>26</v>
      </c>
      <c r="E11" s="58"/>
      <c r="F11" s="14"/>
      <c r="G11" s="58">
        <v>3</v>
      </c>
      <c r="H11" s="58">
        <f>35*4</f>
        <v>140</v>
      </c>
      <c r="I11" s="42">
        <f>G11*H11</f>
        <v>420</v>
      </c>
      <c r="J11" s="6">
        <f>I11*(365/12)/1000</f>
        <v>12.775</v>
      </c>
      <c r="K11" s="84">
        <f>J11/$D$4</f>
        <v>0.015029411764705883</v>
      </c>
      <c r="L11" s="33">
        <f>E11*J11/$D$4</f>
        <v>0</v>
      </c>
      <c r="M11" s="23">
        <f>J11*12</f>
        <v>153.3</v>
      </c>
      <c r="N11" s="94">
        <f>M11*$D$2*3</f>
        <v>87.381</v>
      </c>
      <c r="O11" s="63">
        <f>$M11*$D$2</f>
        <v>29.127000000000002</v>
      </c>
      <c r="P11" s="23">
        <f>Q11*H11</f>
        <v>17.5</v>
      </c>
      <c r="Q11" s="24">
        <f>G11/24</f>
        <v>0.125</v>
      </c>
      <c r="R11" s="58"/>
      <c r="S11" s="58"/>
      <c r="T11" s="58"/>
    </row>
    <row r="12" spans="1:20" ht="13.5">
      <c r="A12" s="58"/>
      <c r="B12" s="87"/>
      <c r="C12" s="58" t="s">
        <v>114</v>
      </c>
      <c r="D12" s="58" t="s">
        <v>16</v>
      </c>
      <c r="E12" s="58"/>
      <c r="F12" s="14"/>
      <c r="G12" s="58">
        <v>2</v>
      </c>
      <c r="H12" s="58">
        <v>134</v>
      </c>
      <c r="I12" s="42">
        <f>G12*H12</f>
        <v>268</v>
      </c>
      <c r="J12" s="6">
        <f>I12*(365/12)/1000</f>
        <v>8.151666666666667</v>
      </c>
      <c r="K12" s="84">
        <f>J12/$D$4</f>
        <v>0.009590196078431373</v>
      </c>
      <c r="L12" s="33">
        <f>E12*J12/$D$4</f>
        <v>0</v>
      </c>
      <c r="M12" s="23">
        <f>J12*12</f>
        <v>97.82000000000001</v>
      </c>
      <c r="N12" s="94">
        <f>M12*$D$2*3</f>
        <v>55.757400000000004</v>
      </c>
      <c r="O12" s="63">
        <f>$M12*$D$2</f>
        <v>18.585800000000003</v>
      </c>
      <c r="P12" s="23">
        <f>Q12*H12</f>
        <v>11.166666666666666</v>
      </c>
      <c r="Q12" s="24">
        <f>G12/24</f>
        <v>0.08333333333333333</v>
      </c>
      <c r="R12" s="58"/>
      <c r="S12" s="58"/>
      <c r="T12" s="58"/>
    </row>
    <row r="13" spans="1:20" ht="13.5">
      <c r="A13" s="58"/>
      <c r="B13" s="87"/>
      <c r="C13" s="58" t="s">
        <v>137</v>
      </c>
      <c r="D13" s="58" t="s">
        <v>55</v>
      </c>
      <c r="E13" s="58"/>
      <c r="F13" s="14"/>
      <c r="G13" s="58">
        <v>3</v>
      </c>
      <c r="H13" s="58">
        <f>60*2</f>
        <v>120</v>
      </c>
      <c r="I13" s="42">
        <f>G13*H13</f>
        <v>360</v>
      </c>
      <c r="J13" s="6">
        <f>I13*(365/12)/1000</f>
        <v>10.95</v>
      </c>
      <c r="K13" s="84">
        <f>J13/$D$4</f>
        <v>0.01288235294117647</v>
      </c>
      <c r="L13" s="33">
        <f>E13*J13/$D$4</f>
        <v>0</v>
      </c>
      <c r="M13" s="23">
        <f>J13*12</f>
        <v>131.39999999999998</v>
      </c>
      <c r="N13" s="94">
        <f>M13*$D$2*3</f>
        <v>74.898</v>
      </c>
      <c r="O13" s="63">
        <f>$M13*$D$2</f>
        <v>24.965999999999998</v>
      </c>
      <c r="P13" s="23">
        <f>Q13*H13</f>
        <v>15</v>
      </c>
      <c r="Q13" s="24">
        <f>G13/24</f>
        <v>0.125</v>
      </c>
      <c r="R13" s="58"/>
      <c r="S13" s="58"/>
      <c r="T13" s="58"/>
    </row>
    <row r="14" spans="1:20" ht="13.5">
      <c r="A14" s="58"/>
      <c r="B14" s="87"/>
      <c r="C14" s="58" t="s">
        <v>170</v>
      </c>
      <c r="D14" s="58" t="s">
        <v>55</v>
      </c>
      <c r="E14" s="58"/>
      <c r="F14" s="14"/>
      <c r="G14" s="58">
        <v>2</v>
      </c>
      <c r="H14" s="58">
        <f>60*2</f>
        <v>120</v>
      </c>
      <c r="I14" s="42">
        <f>G14*H14</f>
        <v>240</v>
      </c>
      <c r="J14" s="6">
        <f>I14*(365/12)/1000</f>
        <v>7.3</v>
      </c>
      <c r="K14" s="84">
        <f>J14/$D$4</f>
        <v>0.008588235294117647</v>
      </c>
      <c r="L14" s="33">
        <f>E14*J14/$D$4</f>
        <v>0</v>
      </c>
      <c r="M14" s="23">
        <f>J14*12</f>
        <v>87.6</v>
      </c>
      <c r="N14" s="94">
        <f>M14*$D$2*3</f>
        <v>49.931999999999995</v>
      </c>
      <c r="O14" s="63">
        <f>$M14*$D$2</f>
        <v>16.644</v>
      </c>
      <c r="P14" s="23">
        <f>Q14*H14</f>
        <v>10</v>
      </c>
      <c r="Q14" s="24">
        <f>G14/24</f>
        <v>0.08333333333333333</v>
      </c>
      <c r="R14" s="58"/>
      <c r="S14" s="58"/>
      <c r="T14" s="58"/>
    </row>
    <row r="15" spans="1:20" ht="13.5">
      <c r="A15" s="58"/>
      <c r="B15" s="87"/>
      <c r="C15" s="58" t="s">
        <v>15</v>
      </c>
      <c r="D15" s="58" t="s">
        <v>16</v>
      </c>
      <c r="E15" s="58"/>
      <c r="F15" s="14"/>
      <c r="G15" s="58">
        <v>0.5</v>
      </c>
      <c r="H15" s="58">
        <v>90</v>
      </c>
      <c r="I15" s="42">
        <f>G15*H15</f>
        <v>45</v>
      </c>
      <c r="J15" s="6">
        <f>I15*(365/12)/1000</f>
        <v>1.36875</v>
      </c>
      <c r="K15" s="84">
        <f>J15/$D$4</f>
        <v>0.0016102941176470587</v>
      </c>
      <c r="L15" s="33">
        <f>E15*J15/$D$4</f>
        <v>0</v>
      </c>
      <c r="M15" s="23">
        <f>J15*12</f>
        <v>16.424999999999997</v>
      </c>
      <c r="N15" s="94">
        <f>M15*$D$2*3</f>
        <v>9.36225</v>
      </c>
      <c r="O15" s="63">
        <f>$M15*$D$2</f>
        <v>3.1207499999999997</v>
      </c>
      <c r="P15" s="23">
        <f>Q15*H15</f>
        <v>1.875</v>
      </c>
      <c r="Q15" s="24">
        <f>G15/24</f>
        <v>0.020833333333333332</v>
      </c>
      <c r="R15" s="58"/>
      <c r="S15" s="58"/>
      <c r="T15" s="58"/>
    </row>
    <row r="16" spans="1:20" ht="13.5">
      <c r="A16" s="58"/>
      <c r="B16" s="87"/>
      <c r="C16" s="58" t="s">
        <v>15</v>
      </c>
      <c r="D16" s="58" t="s">
        <v>16</v>
      </c>
      <c r="E16" s="58"/>
      <c r="F16" s="14"/>
      <c r="G16" s="58">
        <v>1</v>
      </c>
      <c r="H16" s="58">
        <v>90</v>
      </c>
      <c r="I16" s="42">
        <f>G16*H16</f>
        <v>90</v>
      </c>
      <c r="J16" s="6">
        <f>I16*(365/12)/1000</f>
        <v>2.7375</v>
      </c>
      <c r="K16" s="84">
        <f>J16/$D$4</f>
        <v>0.0032205882352941174</v>
      </c>
      <c r="L16" s="33">
        <f>E16*J16/$D$4</f>
        <v>0</v>
      </c>
      <c r="M16" s="23">
        <f>J16*12</f>
        <v>32.849999999999994</v>
      </c>
      <c r="N16" s="94">
        <f>M16*$D$2*3</f>
        <v>18.7245</v>
      </c>
      <c r="O16" s="63">
        <f>$M16*$D$2</f>
        <v>6.241499999999999</v>
      </c>
      <c r="P16" s="23">
        <f>Q16*H16</f>
        <v>3.75</v>
      </c>
      <c r="Q16" s="24">
        <f>G16/24</f>
        <v>0.041666666666666664</v>
      </c>
      <c r="R16" s="58"/>
      <c r="S16" s="58"/>
      <c r="T16" s="58"/>
    </row>
    <row r="17" spans="1:20" ht="13.5">
      <c r="A17" s="58"/>
      <c r="B17" s="87"/>
      <c r="C17" s="58" t="s">
        <v>54</v>
      </c>
      <c r="D17" s="58" t="s">
        <v>55</v>
      </c>
      <c r="E17" s="58"/>
      <c r="F17" s="14"/>
      <c r="G17" s="58">
        <v>2</v>
      </c>
      <c r="H17" s="58">
        <v>100</v>
      </c>
      <c r="I17" s="42">
        <f>G17*H17</f>
        <v>200</v>
      </c>
      <c r="J17" s="6">
        <f>I17*(365/12)/1000</f>
        <v>6.083333333333334</v>
      </c>
      <c r="K17" s="84">
        <f>J17/$D$4</f>
        <v>0.00715686274509804</v>
      </c>
      <c r="L17" s="33">
        <f>E17*J17/$D$4</f>
        <v>0</v>
      </c>
      <c r="M17" s="23">
        <f>J17*12</f>
        <v>73</v>
      </c>
      <c r="N17" s="94">
        <f>M17*$D$2*3</f>
        <v>41.61</v>
      </c>
      <c r="O17" s="63">
        <f>$M17*$D$2</f>
        <v>13.870000000000001</v>
      </c>
      <c r="P17" s="23">
        <f>Q17*H17</f>
        <v>8.333333333333332</v>
      </c>
      <c r="Q17" s="24">
        <f>G17/24</f>
        <v>0.08333333333333333</v>
      </c>
      <c r="R17" s="58"/>
      <c r="S17" s="58"/>
      <c r="T17" s="58"/>
    </row>
    <row r="18" spans="1:20" ht="13.5">
      <c r="A18" s="58"/>
      <c r="B18" s="87" t="s">
        <v>25</v>
      </c>
      <c r="C18" s="58" t="s">
        <v>83</v>
      </c>
      <c r="D18" s="58" t="s">
        <v>55</v>
      </c>
      <c r="E18" s="58"/>
      <c r="F18" s="14"/>
      <c r="G18" s="58">
        <v>2</v>
      </c>
      <c r="H18" s="58">
        <f>40*4</f>
        <v>160</v>
      </c>
      <c r="I18" s="42">
        <f>G18*H18</f>
        <v>320</v>
      </c>
      <c r="J18" s="6">
        <f>I18*(365/12)/1000</f>
        <v>9.733333333333334</v>
      </c>
      <c r="K18" s="84">
        <f>J18/$D$4</f>
        <v>0.011450980392156864</v>
      </c>
      <c r="L18" s="33">
        <f>E18*J18/$D$4</f>
        <v>0</v>
      </c>
      <c r="M18" s="23">
        <f>J18*12</f>
        <v>116.80000000000001</v>
      </c>
      <c r="N18" s="94">
        <f>M18*$D$2*3</f>
        <v>66.57600000000001</v>
      </c>
      <c r="O18" s="63">
        <f>$M18*$D$2</f>
        <v>22.192000000000004</v>
      </c>
      <c r="P18" s="23">
        <f>Q18*H18</f>
        <v>13.333333333333332</v>
      </c>
      <c r="Q18" s="24">
        <f>G18/24</f>
        <v>0.08333333333333333</v>
      </c>
      <c r="R18" s="58"/>
      <c r="S18" s="58"/>
      <c r="T18" s="58"/>
    </row>
    <row r="19" spans="1:20" ht="13.5">
      <c r="A19" s="58"/>
      <c r="B19" s="87" t="s">
        <v>25</v>
      </c>
      <c r="C19" s="58" t="s">
        <v>106</v>
      </c>
      <c r="D19" s="58" t="s">
        <v>16</v>
      </c>
      <c r="E19" s="58"/>
      <c r="F19" s="14"/>
      <c r="G19" s="58">
        <v>4</v>
      </c>
      <c r="H19" s="58">
        <v>237</v>
      </c>
      <c r="I19" s="42">
        <f>G19*H19</f>
        <v>948</v>
      </c>
      <c r="J19" s="6">
        <f>I19*(365/12)/1000</f>
        <v>28.835</v>
      </c>
      <c r="K19" s="84">
        <f>J19/$D$4</f>
        <v>0.03392352941176471</v>
      </c>
      <c r="L19" s="33">
        <f>E19*J19/$D$4</f>
        <v>0</v>
      </c>
      <c r="M19" s="23">
        <f>J19*12</f>
        <v>346.02</v>
      </c>
      <c r="N19" s="94">
        <f>M19*$D$2*3</f>
        <v>197.23139999999998</v>
      </c>
      <c r="O19" s="63">
        <f>$M19*$D$2</f>
        <v>65.7438</v>
      </c>
      <c r="P19" s="23">
        <f>Q19*H19</f>
        <v>39.5</v>
      </c>
      <c r="Q19" s="24">
        <f>G19/24</f>
        <v>0.16666666666666666</v>
      </c>
      <c r="R19" s="58"/>
      <c r="S19" s="58"/>
      <c r="T19" s="58" t="s">
        <v>109</v>
      </c>
    </row>
    <row r="20" spans="1:20" ht="13.5">
      <c r="A20" s="58"/>
      <c r="B20" s="87"/>
      <c r="C20" s="58" t="s">
        <v>133</v>
      </c>
      <c r="D20" s="58" t="s">
        <v>16</v>
      </c>
      <c r="E20" s="58"/>
      <c r="F20" s="14"/>
      <c r="G20" s="58">
        <v>1</v>
      </c>
      <c r="H20" s="58">
        <v>137</v>
      </c>
      <c r="I20" s="42">
        <f>G20*H20</f>
        <v>137</v>
      </c>
      <c r="J20" s="6">
        <f>I20*(365/12)/1000</f>
        <v>4.167083333333334</v>
      </c>
      <c r="K20" s="84">
        <f>J20/$D$4</f>
        <v>0.004902450980392158</v>
      </c>
      <c r="L20" s="33">
        <f>E20*J20/$D$4</f>
        <v>0</v>
      </c>
      <c r="M20" s="23">
        <f>J20*12</f>
        <v>50.00500000000001</v>
      </c>
      <c r="N20" s="94">
        <f>M20*$D$2*3</f>
        <v>28.502850000000002</v>
      </c>
      <c r="O20" s="63">
        <f>$M20*$D$2</f>
        <v>9.500950000000001</v>
      </c>
      <c r="P20" s="23">
        <f>Q20*H20</f>
        <v>5.708333333333333</v>
      </c>
      <c r="Q20" s="24">
        <f>G20/24</f>
        <v>0.041666666666666664</v>
      </c>
      <c r="R20" s="58"/>
      <c r="S20" s="58"/>
      <c r="T20" s="58"/>
    </row>
    <row r="21" spans="1:20" ht="13.5">
      <c r="A21" s="58"/>
      <c r="B21" s="87"/>
      <c r="C21" s="58"/>
      <c r="D21" s="58"/>
      <c r="E21" s="58"/>
      <c r="F21" s="14"/>
      <c r="G21" s="58"/>
      <c r="H21" s="58"/>
      <c r="I21" s="42">
        <f>G21*H21</f>
        <v>0</v>
      </c>
      <c r="J21" s="6">
        <f>I21*(365/12)/1000</f>
        <v>0</v>
      </c>
      <c r="K21" s="84">
        <f>J21/$D$4</f>
        <v>0</v>
      </c>
      <c r="L21" s="33">
        <f>E21*J21/$D$4</f>
        <v>0</v>
      </c>
      <c r="M21" s="23">
        <f>J21*12</f>
        <v>0</v>
      </c>
      <c r="N21" s="94">
        <f>M21*$D$2*3</f>
        <v>0</v>
      </c>
      <c r="O21" s="63">
        <f>$M21*$D$2</f>
        <v>0</v>
      </c>
      <c r="P21" s="23">
        <f>Q21*H21</f>
        <v>0</v>
      </c>
      <c r="Q21" s="24">
        <f>G21/24</f>
        <v>0</v>
      </c>
      <c r="R21" s="58"/>
      <c r="S21" s="58"/>
      <c r="T21" s="58"/>
    </row>
    <row r="22" spans="1:20" ht="13.5">
      <c r="A22" s="58"/>
      <c r="B22" s="58"/>
      <c r="C22" s="58"/>
      <c r="D22" s="58"/>
      <c r="E22" s="58"/>
      <c r="F22" s="14"/>
      <c r="G22" s="58"/>
      <c r="H22" s="62"/>
      <c r="I22" s="42"/>
      <c r="J22" s="6"/>
      <c r="K22" s="84"/>
      <c r="L22" s="33"/>
      <c r="M22" s="23"/>
      <c r="N22" s="94"/>
      <c r="O22" s="94"/>
      <c r="P22" s="23"/>
      <c r="Q22" s="24"/>
      <c r="R22" s="58"/>
      <c r="S22" s="58"/>
      <c r="T22" s="58"/>
    </row>
    <row r="23" spans="1:256" ht="13.5">
      <c r="A23" s="82"/>
      <c r="B23" s="82"/>
      <c r="C23" s="82" t="s">
        <v>7</v>
      </c>
      <c r="D23" s="82" t="s">
        <v>8</v>
      </c>
      <c r="E23" s="82"/>
      <c r="F23" s="39" t="s">
        <v>9</v>
      </c>
      <c r="G23" s="82">
        <f>G9</f>
        <v>3</v>
      </c>
      <c r="H23" s="82">
        <f>(90-20)*2</f>
        <v>140</v>
      </c>
      <c r="I23" s="90">
        <f>G23*H23</f>
        <v>420</v>
      </c>
      <c r="J23" s="50">
        <f>I23*(365/12)/1000</f>
        <v>12.775</v>
      </c>
      <c r="K23" s="7">
        <f>J23/$D$4</f>
        <v>0.015029411764705883</v>
      </c>
      <c r="L23" s="91">
        <f>E23*J23/$D$4</f>
        <v>0</v>
      </c>
      <c r="M23" s="66">
        <f>J23*12</f>
        <v>153.3</v>
      </c>
      <c r="N23" s="48">
        <f>M23*$D$2*3</f>
        <v>87.381</v>
      </c>
      <c r="O23" s="89">
        <f>$M23*$D$2</f>
        <v>29.127000000000002</v>
      </c>
      <c r="P23" s="66">
        <f>Q23*H23</f>
        <v>17.5</v>
      </c>
      <c r="Q23" s="13">
        <f>G23/24</f>
        <v>0.125</v>
      </c>
      <c r="R23" s="82"/>
      <c r="S23" s="82"/>
      <c r="T23" s="82" t="s">
        <v>12</v>
      </c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ht="13.5">
      <c r="A24" s="82"/>
      <c r="B24" s="82"/>
      <c r="C24" s="82" t="s">
        <v>45</v>
      </c>
      <c r="D24" s="82" t="s">
        <v>46</v>
      </c>
      <c r="E24" s="82"/>
      <c r="F24" s="39" t="s">
        <v>9</v>
      </c>
      <c r="G24" s="82">
        <v>2</v>
      </c>
      <c r="H24" s="82">
        <f>(40-7)*2+(60-14)</f>
        <v>112</v>
      </c>
      <c r="I24" s="90">
        <f>G24*H24</f>
        <v>224</v>
      </c>
      <c r="J24" s="50">
        <f>I24*(365/12)/1000</f>
        <v>6.813333333333334</v>
      </c>
      <c r="K24" s="7">
        <f>J24/$D$4</f>
        <v>0.008015686274509805</v>
      </c>
      <c r="L24" s="91">
        <f>E24*J24/$D$4</f>
        <v>0</v>
      </c>
      <c r="M24" s="66">
        <f>J24*12</f>
        <v>81.76000000000002</v>
      </c>
      <c r="N24" s="48">
        <f>M24*$D$2*3</f>
        <v>46.60320000000001</v>
      </c>
      <c r="O24" s="89">
        <f>$M24*$D$2</f>
        <v>15.534400000000003</v>
      </c>
      <c r="P24" s="66">
        <f>Q24*H24</f>
        <v>9.333333333333332</v>
      </c>
      <c r="Q24" s="13">
        <f>G24/24</f>
        <v>0.08333333333333333</v>
      </c>
      <c r="R24" s="82"/>
      <c r="S24" s="82"/>
      <c r="T24" s="82" t="s">
        <v>12</v>
      </c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ht="13.5">
      <c r="A25" s="56"/>
      <c r="B25" s="56" t="s">
        <v>58</v>
      </c>
      <c r="C25" s="56" t="s">
        <v>77</v>
      </c>
      <c r="D25" s="56" t="s">
        <v>78</v>
      </c>
      <c r="E25" s="56"/>
      <c r="F25" s="15" t="s">
        <v>60</v>
      </c>
      <c r="G25" s="56">
        <f>G19</f>
        <v>4</v>
      </c>
      <c r="H25" s="56">
        <f>H19-65</f>
        <v>172</v>
      </c>
      <c r="I25" s="31">
        <f>G25*H25</f>
        <v>688</v>
      </c>
      <c r="J25" s="16">
        <f>I25*(365/12)/1000</f>
        <v>20.92666666666667</v>
      </c>
      <c r="K25" s="34">
        <f>J25/$D$4</f>
        <v>0.02461960784313726</v>
      </c>
      <c r="L25" s="92">
        <f>E25*J25/$D$4</f>
        <v>0</v>
      </c>
      <c r="M25" s="16">
        <f>J25*12</f>
        <v>251.12000000000003</v>
      </c>
      <c r="N25" s="76">
        <f>M25*$D$2*3</f>
        <v>143.13840000000002</v>
      </c>
      <c r="O25" s="72">
        <f>$M25*$D$2</f>
        <v>47.71280000000001</v>
      </c>
      <c r="P25" s="16">
        <f>Q25*H25</f>
        <v>28.666666666666664</v>
      </c>
      <c r="Q25" s="52">
        <f>G25/24</f>
        <v>0.16666666666666666</v>
      </c>
      <c r="R25" s="56"/>
      <c r="S25" s="56"/>
      <c r="T25" s="56" t="s">
        <v>12</v>
      </c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0" ht="13.5">
      <c r="A26" s="58"/>
      <c r="B26" s="58"/>
      <c r="C26" s="58"/>
      <c r="D26" s="58"/>
      <c r="E26" s="58"/>
      <c r="F26" s="14"/>
      <c r="G26" s="58"/>
      <c r="H26" s="62"/>
      <c r="I26" s="42"/>
      <c r="J26" s="6"/>
      <c r="K26" s="84"/>
      <c r="L26" s="33"/>
      <c r="M26" s="23"/>
      <c r="N26" s="94"/>
      <c r="O26" s="94"/>
      <c r="P26" s="23"/>
      <c r="Q26" s="24"/>
      <c r="R26" s="58"/>
      <c r="S26" s="58"/>
      <c r="T26" s="58"/>
    </row>
    <row r="27" spans="1:256" ht="13.5">
      <c r="A27" s="11"/>
      <c r="B27" s="11" t="s">
        <v>123</v>
      </c>
      <c r="C27" s="11"/>
      <c r="D27" s="11" t="s">
        <v>33</v>
      </c>
      <c r="E27" s="11">
        <v>1</v>
      </c>
      <c r="F27" s="2"/>
      <c r="G27" s="11">
        <v>24</v>
      </c>
      <c r="H27" s="11">
        <v>159</v>
      </c>
      <c r="I27" s="4">
        <f>G27*H27</f>
        <v>3816</v>
      </c>
      <c r="J27" s="83">
        <f>I27*(365/12)/1000</f>
        <v>116.07</v>
      </c>
      <c r="K27" s="33">
        <f>J27/$D$4</f>
        <v>0.13655294117647057</v>
      </c>
      <c r="L27" s="33">
        <f>E27*J27/$D$4</f>
        <v>0.13655294117647057</v>
      </c>
      <c r="M27" s="38">
        <f>J27*12</f>
        <v>1392.84</v>
      </c>
      <c r="N27" s="63">
        <f>M27*$D$2*3</f>
        <v>793.9187999999999</v>
      </c>
      <c r="O27" s="63">
        <f>$M27*$D$2</f>
        <v>264.6396</v>
      </c>
      <c r="P27" s="38">
        <f>Q27*H27</f>
        <v>159</v>
      </c>
      <c r="Q27" s="40">
        <f>G27/24</f>
        <v>1</v>
      </c>
      <c r="R27" s="11"/>
      <c r="S27" s="11" t="s">
        <v>126</v>
      </c>
      <c r="T27" s="11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0" ht="13.5">
      <c r="A28" s="58"/>
      <c r="B28" s="87"/>
      <c r="C28" s="58" t="s">
        <v>111</v>
      </c>
      <c r="D28" s="58" t="s">
        <v>161</v>
      </c>
      <c r="E28" s="58"/>
      <c r="F28" s="14"/>
      <c r="G28" s="58">
        <v>20</v>
      </c>
      <c r="H28" s="58">
        <v>124</v>
      </c>
      <c r="I28" s="42">
        <f>G28*H28</f>
        <v>2480</v>
      </c>
      <c r="J28" s="6">
        <f>I28*(365/12)/1000</f>
        <v>75.43333333333334</v>
      </c>
      <c r="K28" s="84">
        <f>J28/$D$4</f>
        <v>0.0887450980392157</v>
      </c>
      <c r="L28" s="33">
        <f>E28*J28/$D$4</f>
        <v>0</v>
      </c>
      <c r="M28" s="23">
        <f>J28*12</f>
        <v>905.2</v>
      </c>
      <c r="N28" s="94">
        <f>M28*$D$2*3</f>
        <v>515.9639999999999</v>
      </c>
      <c r="O28" s="63">
        <f>$M28*$D$2</f>
        <v>171.988</v>
      </c>
      <c r="P28" s="23">
        <f>Q28*H28</f>
        <v>103.33333333333334</v>
      </c>
      <c r="Q28" s="24">
        <f>G28/24</f>
        <v>0.8333333333333334</v>
      </c>
      <c r="R28" s="58"/>
      <c r="S28" s="58"/>
      <c r="T28" s="58"/>
    </row>
    <row r="29" spans="1:20" ht="13.5">
      <c r="A29" s="58"/>
      <c r="B29" s="87"/>
      <c r="C29" s="58" t="s">
        <v>111</v>
      </c>
      <c r="D29" s="58" t="s">
        <v>173</v>
      </c>
      <c r="E29" s="58"/>
      <c r="F29" s="14"/>
      <c r="G29" s="58">
        <v>3</v>
      </c>
      <c r="H29" s="58">
        <v>440</v>
      </c>
      <c r="I29" s="42">
        <f>G29*H29</f>
        <v>1320</v>
      </c>
      <c r="J29" s="6">
        <f>I29*(365/12)/1000</f>
        <v>40.15</v>
      </c>
      <c r="K29" s="84">
        <f>J29/$D$4</f>
        <v>0.047235294117647056</v>
      </c>
      <c r="L29" s="33">
        <f>E29*J29/$D$4</f>
        <v>0</v>
      </c>
      <c r="M29" s="23">
        <f>J29*12</f>
        <v>481.79999999999995</v>
      </c>
      <c r="N29" s="94">
        <f>M29*$D$2*3</f>
        <v>274.626</v>
      </c>
      <c r="O29" s="63">
        <f>$M29*$D$2</f>
        <v>91.54199999999999</v>
      </c>
      <c r="P29" s="23">
        <f>Q29*H29</f>
        <v>55</v>
      </c>
      <c r="Q29" s="24">
        <f>G29/24</f>
        <v>0.125</v>
      </c>
      <c r="R29" s="58"/>
      <c r="S29" s="58"/>
      <c r="T29" s="58"/>
    </row>
    <row r="30" spans="1:20" ht="13.5">
      <c r="A30" s="58"/>
      <c r="B30" s="87"/>
      <c r="C30" s="58" t="s">
        <v>111</v>
      </c>
      <c r="D30" s="58" t="s">
        <v>184</v>
      </c>
      <c r="E30" s="58"/>
      <c r="F30" s="14"/>
      <c r="G30" s="58">
        <v>3</v>
      </c>
      <c r="H30" s="62">
        <f>H32+H33+H34+H35+H36+(H37*0.4+H38*0.6)+H39+(0.4*H41+0.6*H42)+H43+H44</f>
        <v>444.79999999999995</v>
      </c>
      <c r="I30" s="42">
        <f>G30*H30</f>
        <v>1334.3999999999999</v>
      </c>
      <c r="J30" s="6">
        <f>I30*(365/12)/1000</f>
        <v>40.588</v>
      </c>
      <c r="K30" s="84">
        <f>J30/$D$4</f>
        <v>0.04775058823529412</v>
      </c>
      <c r="L30" s="33">
        <f>E30*J30/$D$4</f>
        <v>0</v>
      </c>
      <c r="M30" s="23">
        <f>J30*12</f>
        <v>487.05600000000004</v>
      </c>
      <c r="N30" s="94">
        <f>M30*$D$2*3</f>
        <v>277.62192000000005</v>
      </c>
      <c r="O30" s="63">
        <f>$M30*$D$2</f>
        <v>92.54064000000001</v>
      </c>
      <c r="P30" s="23">
        <f>Q30*H30</f>
        <v>55.599999999999994</v>
      </c>
      <c r="Q30" s="24">
        <f>G30/24</f>
        <v>0.125</v>
      </c>
      <c r="R30" s="58"/>
      <c r="S30" s="58"/>
      <c r="T30" s="58"/>
    </row>
    <row r="31" spans="1:20" ht="13.5">
      <c r="A31" s="58"/>
      <c r="B31" s="87"/>
      <c r="C31" s="58" t="s">
        <v>34</v>
      </c>
      <c r="D31" s="58" t="s">
        <v>35</v>
      </c>
      <c r="E31" s="58"/>
      <c r="F31" s="14"/>
      <c r="G31" s="58">
        <v>0</v>
      </c>
      <c r="H31" s="58">
        <v>2</v>
      </c>
      <c r="I31" s="42">
        <f>G31*H31</f>
        <v>0</v>
      </c>
      <c r="J31" s="6">
        <f>I31*(365/12)/1000</f>
        <v>0</v>
      </c>
      <c r="K31" s="84">
        <f>J31/$D$4</f>
        <v>0</v>
      </c>
      <c r="L31" s="33">
        <f>E31*J31/$D$4</f>
        <v>0</v>
      </c>
      <c r="M31" s="23">
        <f>J31*12</f>
        <v>0</v>
      </c>
      <c r="N31" s="94">
        <f>M31*$D$2*3</f>
        <v>0</v>
      </c>
      <c r="O31" s="63">
        <f>$M31*$D$2</f>
        <v>0</v>
      </c>
      <c r="P31" s="23">
        <f>Q31*H31</f>
        <v>0</v>
      </c>
      <c r="Q31" s="24">
        <f>G31/24</f>
        <v>0</v>
      </c>
      <c r="R31" s="58"/>
      <c r="S31" s="58"/>
      <c r="T31" s="58"/>
    </row>
    <row r="32" spans="1:20" ht="13.5">
      <c r="A32" s="58"/>
      <c r="B32" s="87" t="s">
        <v>71</v>
      </c>
      <c r="C32" s="58" t="s">
        <v>34</v>
      </c>
      <c r="D32" s="58" t="s">
        <v>14</v>
      </c>
      <c r="E32" s="58"/>
      <c r="F32" s="14"/>
      <c r="G32" s="58">
        <v>24</v>
      </c>
      <c r="H32" s="58">
        <f>132-124</f>
        <v>8</v>
      </c>
      <c r="I32" s="42">
        <f>G32*H32</f>
        <v>192</v>
      </c>
      <c r="J32" s="6">
        <f>I32*(365/12)/1000</f>
        <v>5.84</v>
      </c>
      <c r="K32" s="84">
        <f>J32/$D$4</f>
        <v>0.006870588235294118</v>
      </c>
      <c r="L32" s="33">
        <f>E32*J32/$D$4</f>
        <v>0</v>
      </c>
      <c r="M32" s="23">
        <f>J32*12</f>
        <v>70.08</v>
      </c>
      <c r="N32" s="94">
        <f>M32*$D$2*3</f>
        <v>39.9456</v>
      </c>
      <c r="O32" s="63">
        <f>$M32*$D$2</f>
        <v>13.315199999999999</v>
      </c>
      <c r="P32" s="23">
        <f>Q32*H32</f>
        <v>8</v>
      </c>
      <c r="Q32" s="24">
        <f>G32/24</f>
        <v>1</v>
      </c>
      <c r="R32" s="58"/>
      <c r="S32" s="58"/>
      <c r="T32" s="58"/>
    </row>
    <row r="33" spans="1:20" ht="13.5">
      <c r="A33" s="58"/>
      <c r="B33" s="87"/>
      <c r="C33" s="58" t="s">
        <v>94</v>
      </c>
      <c r="D33" s="58" t="s">
        <v>14</v>
      </c>
      <c r="E33" s="58"/>
      <c r="F33" s="14"/>
      <c r="G33" s="58">
        <v>24</v>
      </c>
      <c r="H33" s="58">
        <f>124-84</f>
        <v>40</v>
      </c>
      <c r="I33" s="42">
        <f>G33*H33</f>
        <v>960</v>
      </c>
      <c r="J33" s="6">
        <f>I33*(365/12)/1000</f>
        <v>29.2</v>
      </c>
      <c r="K33" s="84">
        <f>J33/$D$4</f>
        <v>0.034352941176470586</v>
      </c>
      <c r="L33" s="33">
        <f>E33*J33/$D$4</f>
        <v>0</v>
      </c>
      <c r="M33" s="23">
        <f>J33*12</f>
        <v>350.4</v>
      </c>
      <c r="N33" s="94">
        <f>M33*$D$2*3</f>
        <v>199.72799999999998</v>
      </c>
      <c r="O33" s="63">
        <f>$M33*$D$2</f>
        <v>66.576</v>
      </c>
      <c r="P33" s="23">
        <f>Q33*H33</f>
        <v>40</v>
      </c>
      <c r="Q33" s="24">
        <f>G33/24</f>
        <v>1</v>
      </c>
      <c r="R33" s="58"/>
      <c r="S33" s="58"/>
      <c r="T33" s="58"/>
    </row>
    <row r="34" spans="1:20" ht="13.5">
      <c r="A34" s="58"/>
      <c r="B34" s="87" t="s">
        <v>4</v>
      </c>
      <c r="C34" s="58" t="s">
        <v>118</v>
      </c>
      <c r="D34" s="58" t="s">
        <v>6</v>
      </c>
      <c r="E34" s="58"/>
      <c r="F34" s="14"/>
      <c r="G34" s="58">
        <v>24</v>
      </c>
      <c r="H34" s="58">
        <f>84-30</f>
        <v>54</v>
      </c>
      <c r="I34" s="42">
        <f>G34*H34</f>
        <v>1296</v>
      </c>
      <c r="J34" s="6">
        <f>I34*(365/12)/1000</f>
        <v>39.42</v>
      </c>
      <c r="K34" s="84">
        <f>J34/$D$4</f>
        <v>0.0463764705882353</v>
      </c>
      <c r="L34" s="33">
        <f>E34*J34/$D$4</f>
        <v>0</v>
      </c>
      <c r="M34" s="23">
        <f>J34*12</f>
        <v>473.04</v>
      </c>
      <c r="N34" s="94">
        <f>M34*$D$2*3</f>
        <v>269.6328</v>
      </c>
      <c r="O34" s="63">
        <f>$M34*$D$2</f>
        <v>89.8776</v>
      </c>
      <c r="P34" s="23">
        <f>Q34*H34</f>
        <v>54</v>
      </c>
      <c r="Q34" s="24">
        <f>G34/24</f>
        <v>1</v>
      </c>
      <c r="R34" s="58"/>
      <c r="S34" s="58" t="s">
        <v>119</v>
      </c>
      <c r="T34" s="58"/>
    </row>
    <row r="35" spans="1:20" ht="13.5">
      <c r="A35" s="58"/>
      <c r="B35" s="87"/>
      <c r="C35" s="58" t="s">
        <v>139</v>
      </c>
      <c r="D35" s="58" t="s">
        <v>14</v>
      </c>
      <c r="E35" s="58"/>
      <c r="F35" s="14"/>
      <c r="G35" s="58">
        <v>24</v>
      </c>
      <c r="H35" s="58">
        <v>1</v>
      </c>
      <c r="I35" s="42">
        <f>G35*H35</f>
        <v>24</v>
      </c>
      <c r="J35" s="6">
        <f>I35*(365/12)/1000</f>
        <v>0.73</v>
      </c>
      <c r="K35" s="84">
        <f>J35/$D$4</f>
        <v>0.0008588235294117647</v>
      </c>
      <c r="L35" s="33">
        <f>E35*J35/$D$4</f>
        <v>0</v>
      </c>
      <c r="M35" s="23">
        <f>J35*12</f>
        <v>8.76</v>
      </c>
      <c r="N35" s="94">
        <f>M35*$D$2*3</f>
        <v>4.9932</v>
      </c>
      <c r="O35" s="63">
        <f>$M35*$D$2</f>
        <v>1.6643999999999999</v>
      </c>
      <c r="P35" s="23">
        <f>Q35*H35</f>
        <v>1</v>
      </c>
      <c r="Q35" s="24">
        <f>G35/24</f>
        <v>1</v>
      </c>
      <c r="R35" s="58"/>
      <c r="S35" s="58"/>
      <c r="T35" s="58"/>
    </row>
    <row r="36" spans="1:20" ht="13.5">
      <c r="A36" s="58"/>
      <c r="B36" s="87"/>
      <c r="C36" s="58" t="s">
        <v>20</v>
      </c>
      <c r="D36" s="58" t="s">
        <v>35</v>
      </c>
      <c r="E36" s="58"/>
      <c r="F36" s="14"/>
      <c r="G36" s="58">
        <f>G28</f>
        <v>20</v>
      </c>
      <c r="H36" s="58">
        <v>1</v>
      </c>
      <c r="I36" s="42">
        <f>G36*H36</f>
        <v>20</v>
      </c>
      <c r="J36" s="6">
        <f>I36*(365/12)/1000</f>
        <v>0.6083333333333334</v>
      </c>
      <c r="K36" s="84">
        <f>J36/$D$4</f>
        <v>0.000715686274509804</v>
      </c>
      <c r="L36" s="33">
        <f>E36*J36/$D$4</f>
        <v>0</v>
      </c>
      <c r="M36" s="23">
        <f>J36*12</f>
        <v>7.300000000000001</v>
      </c>
      <c r="N36" s="94">
        <f>M36*$D$2*3</f>
        <v>4.1610000000000005</v>
      </c>
      <c r="O36" s="63">
        <f>$M36*$D$2</f>
        <v>1.3870000000000002</v>
      </c>
      <c r="P36" s="23">
        <f>Q36*H36</f>
        <v>0.8333333333333334</v>
      </c>
      <c r="Q36" s="24">
        <f>G36/24</f>
        <v>0.8333333333333334</v>
      </c>
      <c r="R36" s="58"/>
      <c r="S36" s="58"/>
      <c r="T36" s="58"/>
    </row>
    <row r="37" spans="1:20" ht="13.5">
      <c r="A37" s="58"/>
      <c r="B37" s="87"/>
      <c r="C37" s="58" t="s">
        <v>20</v>
      </c>
      <c r="D37" s="58" t="s">
        <v>181</v>
      </c>
      <c r="E37" s="58"/>
      <c r="F37" s="14"/>
      <c r="G37" s="58">
        <v>3</v>
      </c>
      <c r="H37" s="58">
        <f>368-124</f>
        <v>244</v>
      </c>
      <c r="I37" s="42">
        <f>G37*H37</f>
        <v>732</v>
      </c>
      <c r="J37" s="6">
        <f>I37*(365/12)/1000</f>
        <v>22.265</v>
      </c>
      <c r="K37" s="84">
        <f>J37/$D$4</f>
        <v>0.026194117647058823</v>
      </c>
      <c r="L37" s="33">
        <f>E37*J37/$D$4</f>
        <v>0</v>
      </c>
      <c r="M37" s="23">
        <f>J37*12</f>
        <v>267.18</v>
      </c>
      <c r="N37" s="94">
        <f>M37*$D$2*3</f>
        <v>152.2926</v>
      </c>
      <c r="O37" s="63">
        <f>$M37*$D$2</f>
        <v>50.7642</v>
      </c>
      <c r="P37" s="23">
        <f>Q37*H37</f>
        <v>30.5</v>
      </c>
      <c r="Q37" s="24">
        <f>G37/24</f>
        <v>0.125</v>
      </c>
      <c r="R37" s="58"/>
      <c r="S37" s="58"/>
      <c r="T37" s="58"/>
    </row>
    <row r="38" spans="1:20" ht="13.5">
      <c r="A38" s="58"/>
      <c r="B38" s="87"/>
      <c r="C38" s="58" t="s">
        <v>20</v>
      </c>
      <c r="D38" s="58" t="s">
        <v>21</v>
      </c>
      <c r="E38" s="58"/>
      <c r="F38" s="14"/>
      <c r="G38" s="58">
        <v>3</v>
      </c>
      <c r="H38" s="58">
        <f>340-124</f>
        <v>216</v>
      </c>
      <c r="I38" s="42">
        <f>G38*H38</f>
        <v>648</v>
      </c>
      <c r="J38" s="6">
        <f>I38*(365/12)/1000</f>
        <v>19.71</v>
      </c>
      <c r="K38" s="84">
        <f>J38/$D$4</f>
        <v>0.02318823529411765</v>
      </c>
      <c r="L38" s="33">
        <f>E38*J38/$D$4</f>
        <v>0</v>
      </c>
      <c r="M38" s="23">
        <f>J38*12</f>
        <v>236.52</v>
      </c>
      <c r="N38" s="94">
        <f>M38*$D$2*3</f>
        <v>134.8164</v>
      </c>
      <c r="O38" s="63">
        <f>$M38*$D$2</f>
        <v>44.9388</v>
      </c>
      <c r="P38" s="23">
        <f>Q38*H38</f>
        <v>27</v>
      </c>
      <c r="Q38" s="24">
        <f>G38/24</f>
        <v>0.125</v>
      </c>
      <c r="R38" s="58"/>
      <c r="S38" s="58"/>
      <c r="T38" s="58"/>
    </row>
    <row r="39" spans="1:20" ht="13.5">
      <c r="A39" s="58"/>
      <c r="B39" s="87" t="s">
        <v>62</v>
      </c>
      <c r="C39" s="58" t="s">
        <v>49</v>
      </c>
      <c r="D39" s="58" t="s">
        <v>63</v>
      </c>
      <c r="E39" s="58"/>
      <c r="F39" s="14"/>
      <c r="G39" s="58">
        <f>G28</f>
        <v>20</v>
      </c>
      <c r="H39" s="58">
        <f>28-12</f>
        <v>16</v>
      </c>
      <c r="I39" s="42">
        <f>G39*H39</f>
        <v>320</v>
      </c>
      <c r="J39" s="6">
        <f>I39*(365/12)/1000</f>
        <v>9.733333333333334</v>
      </c>
      <c r="K39" s="84">
        <f>J39/$D$4</f>
        <v>0.011450980392156864</v>
      </c>
      <c r="L39" s="33">
        <f>E39*J39/$D$4</f>
        <v>0</v>
      </c>
      <c r="M39" s="23">
        <f>J39*12</f>
        <v>116.80000000000001</v>
      </c>
      <c r="N39" s="94">
        <f>M39*$D$2*3</f>
        <v>66.57600000000001</v>
      </c>
      <c r="O39" s="63">
        <f>$M39*$D$2</f>
        <v>22.192000000000004</v>
      </c>
      <c r="P39" s="23">
        <f>Q39*H39</f>
        <v>13.333333333333334</v>
      </c>
      <c r="Q39" s="24">
        <f>G39/24</f>
        <v>0.8333333333333334</v>
      </c>
      <c r="R39" s="58"/>
      <c r="S39" s="58"/>
      <c r="T39" s="58"/>
    </row>
    <row r="40" spans="1:20" ht="13.5">
      <c r="A40" s="58"/>
      <c r="B40" s="87"/>
      <c r="C40" s="58" t="s">
        <v>86</v>
      </c>
      <c r="D40" s="58" t="s">
        <v>69</v>
      </c>
      <c r="E40" s="58"/>
      <c r="F40" s="14"/>
      <c r="G40" s="58">
        <f>G28</f>
        <v>20</v>
      </c>
      <c r="H40" s="58">
        <v>1</v>
      </c>
      <c r="I40" s="42">
        <f>G40*H40</f>
        <v>20</v>
      </c>
      <c r="J40" s="6">
        <f>I40*(365/12)/1000</f>
        <v>0.6083333333333334</v>
      </c>
      <c r="K40" s="84">
        <f>J40/$D$4</f>
        <v>0.000715686274509804</v>
      </c>
      <c r="L40" s="33">
        <f>E40*J40/$D$4</f>
        <v>0</v>
      </c>
      <c r="M40" s="23">
        <f>J40*12</f>
        <v>7.300000000000001</v>
      </c>
      <c r="N40" s="94">
        <f>M40*$D$2*3</f>
        <v>4.1610000000000005</v>
      </c>
      <c r="O40" s="63">
        <f>$M40*$D$2</f>
        <v>1.3870000000000002</v>
      </c>
      <c r="P40" s="23">
        <f>Q40*H40</f>
        <v>0.8333333333333334</v>
      </c>
      <c r="Q40" s="24">
        <f>G40/24</f>
        <v>0.8333333333333334</v>
      </c>
      <c r="R40" s="58"/>
      <c r="S40" s="58"/>
      <c r="T40" s="58"/>
    </row>
    <row r="41" spans="1:20" ht="13.5">
      <c r="A41" s="58"/>
      <c r="B41" s="87"/>
      <c r="C41" s="58" t="s">
        <v>86</v>
      </c>
      <c r="D41" s="58" t="s">
        <v>14</v>
      </c>
      <c r="E41" s="58"/>
      <c r="F41" s="14"/>
      <c r="G41" s="58">
        <v>0</v>
      </c>
      <c r="H41" s="58">
        <f>194-124</f>
        <v>70</v>
      </c>
      <c r="I41" s="42">
        <f>G41*H41</f>
        <v>0</v>
      </c>
      <c r="J41" s="6">
        <f>I41*(365/12)/1000</f>
        <v>0</v>
      </c>
      <c r="K41" s="84">
        <f>J41/$D$4</f>
        <v>0</v>
      </c>
      <c r="L41" s="33">
        <f>E41*J41/$D$4</f>
        <v>0</v>
      </c>
      <c r="M41" s="23">
        <f>J41*12</f>
        <v>0</v>
      </c>
      <c r="N41" s="94">
        <f>M41*$D$2*3</f>
        <v>0</v>
      </c>
      <c r="O41" s="63">
        <f>$M41*$D$2</f>
        <v>0</v>
      </c>
      <c r="P41" s="23">
        <f>Q41*H41</f>
        <v>0</v>
      </c>
      <c r="Q41" s="24">
        <f>G41/24</f>
        <v>0</v>
      </c>
      <c r="R41" s="58"/>
      <c r="S41" s="58"/>
      <c r="T41" s="58"/>
    </row>
    <row r="42" spans="1:20" ht="13.5">
      <c r="A42" s="58"/>
      <c r="B42" s="87"/>
      <c r="C42" s="58" t="s">
        <v>86</v>
      </c>
      <c r="D42" s="58" t="s">
        <v>135</v>
      </c>
      <c r="E42" s="58"/>
      <c r="F42" s="14"/>
      <c r="G42" s="58">
        <v>3</v>
      </c>
      <c r="H42" s="58">
        <f>220-124</f>
        <v>96</v>
      </c>
      <c r="I42" s="42">
        <f>G42*H42</f>
        <v>288</v>
      </c>
      <c r="J42" s="6">
        <f>I42*(365/12)/1000</f>
        <v>8.76</v>
      </c>
      <c r="K42" s="84">
        <f>J42/$D$4</f>
        <v>0.010305882352941177</v>
      </c>
      <c r="L42" s="33">
        <f>E42*J42/$D$4</f>
        <v>0</v>
      </c>
      <c r="M42" s="23">
        <f>J42*12</f>
        <v>105.12</v>
      </c>
      <c r="N42" s="94">
        <f>M42*$D$2*3</f>
        <v>59.9184</v>
      </c>
      <c r="O42" s="63">
        <f>$M42*$D$2</f>
        <v>19.9728</v>
      </c>
      <c r="P42" s="23">
        <f>Q42*H42</f>
        <v>12</v>
      </c>
      <c r="Q42" s="24">
        <f>G42/24</f>
        <v>0.125</v>
      </c>
      <c r="R42" s="58"/>
      <c r="S42" s="58"/>
      <c r="T42" s="58"/>
    </row>
    <row r="43" spans="1:20" ht="13.5">
      <c r="A43" s="58"/>
      <c r="B43" s="87"/>
      <c r="C43" s="58" t="s">
        <v>168</v>
      </c>
      <c r="D43" s="58" t="s">
        <v>6</v>
      </c>
      <c r="E43" s="58"/>
      <c r="F43" s="14"/>
      <c r="G43" s="58">
        <v>24</v>
      </c>
      <c r="H43" s="58">
        <v>5</v>
      </c>
      <c r="I43" s="42">
        <f>G43*H43</f>
        <v>120</v>
      </c>
      <c r="J43" s="6">
        <f>I43*(365/12)/1000</f>
        <v>3.65</v>
      </c>
      <c r="K43" s="84">
        <f>J43/$D$4</f>
        <v>0.004294117647058823</v>
      </c>
      <c r="L43" s="33">
        <f>E43*J43/$D$4</f>
        <v>0</v>
      </c>
      <c r="M43" s="23">
        <f>J43*12</f>
        <v>43.8</v>
      </c>
      <c r="N43" s="94">
        <f>M43*$D$2*3</f>
        <v>24.965999999999998</v>
      </c>
      <c r="O43" s="63">
        <f>$M43*$D$2</f>
        <v>8.322</v>
      </c>
      <c r="P43" s="23">
        <f>Q43*H43</f>
        <v>5</v>
      </c>
      <c r="Q43" s="24">
        <f>G43/24</f>
        <v>1</v>
      </c>
      <c r="R43" s="58"/>
      <c r="S43" s="58"/>
      <c r="T43" s="58"/>
    </row>
    <row r="44" spans="1:20" ht="13.5">
      <c r="A44" s="58"/>
      <c r="B44" s="87"/>
      <c r="C44" s="58" t="s">
        <v>179</v>
      </c>
      <c r="D44" s="58" t="s">
        <v>78</v>
      </c>
      <c r="E44" s="58"/>
      <c r="F44" s="14"/>
      <c r="G44" s="58">
        <v>24</v>
      </c>
      <c r="H44" s="58">
        <v>7</v>
      </c>
      <c r="I44" s="42">
        <f>G44*H44</f>
        <v>168</v>
      </c>
      <c r="J44" s="6">
        <f>I44*(365/12)/1000</f>
        <v>5.11</v>
      </c>
      <c r="K44" s="84">
        <f>J44/$D$4</f>
        <v>0.006011764705882354</v>
      </c>
      <c r="L44" s="33">
        <f>E44*J44/$D$4</f>
        <v>0</v>
      </c>
      <c r="M44" s="23">
        <f>J44*12</f>
        <v>61.32000000000001</v>
      </c>
      <c r="N44" s="94">
        <f>M44*$D$2*3</f>
        <v>34.952400000000004</v>
      </c>
      <c r="O44" s="63">
        <f>$M44*$D$2</f>
        <v>11.650800000000002</v>
      </c>
      <c r="P44" s="23">
        <f>Q44*H44</f>
        <v>7</v>
      </c>
      <c r="Q44" s="24">
        <f>G44/24</f>
        <v>1</v>
      </c>
      <c r="R44" s="58"/>
      <c r="S44" s="58"/>
      <c r="T44" s="58"/>
    </row>
    <row r="45" spans="1:20" ht="13.5">
      <c r="A45" s="58"/>
      <c r="B45" s="58"/>
      <c r="C45" s="58"/>
      <c r="D45" s="58"/>
      <c r="E45" s="58"/>
      <c r="F45" s="14"/>
      <c r="G45" s="58"/>
      <c r="H45" s="58"/>
      <c r="I45" s="42"/>
      <c r="J45" s="6"/>
      <c r="K45" s="84"/>
      <c r="L45" s="33"/>
      <c r="M45" s="23"/>
      <c r="N45" s="94"/>
      <c r="O45" s="94"/>
      <c r="P45" s="23"/>
      <c r="Q45" s="24"/>
      <c r="R45" s="58"/>
      <c r="S45" s="58"/>
      <c r="T45" s="58"/>
    </row>
    <row r="46" spans="1:256" ht="13.5">
      <c r="A46" s="82"/>
      <c r="B46" s="82"/>
      <c r="C46" s="82" t="s">
        <v>34</v>
      </c>
      <c r="D46" s="82" t="s">
        <v>51</v>
      </c>
      <c r="E46" s="82"/>
      <c r="F46" s="39" t="s">
        <v>9</v>
      </c>
      <c r="G46" s="82">
        <v>24</v>
      </c>
      <c r="H46" s="82">
        <v>6</v>
      </c>
      <c r="I46" s="90">
        <f>G46*H46</f>
        <v>144</v>
      </c>
      <c r="J46" s="66">
        <f>I46*(365/12)/1000</f>
        <v>4.38</v>
      </c>
      <c r="K46" s="7">
        <f>J46/$D$4</f>
        <v>0.0051529411764705884</v>
      </c>
      <c r="L46" s="91">
        <f>E46*J46/$D$4</f>
        <v>0</v>
      </c>
      <c r="M46" s="66">
        <f>J46*12</f>
        <v>52.56</v>
      </c>
      <c r="N46" s="48">
        <f>M46*$D$2*3</f>
        <v>29.9592</v>
      </c>
      <c r="O46" s="89">
        <f>$M46*$D$2</f>
        <v>9.9864</v>
      </c>
      <c r="P46" s="66">
        <f>Q46*H46</f>
        <v>6</v>
      </c>
      <c r="Q46" s="13">
        <f>G46/24</f>
        <v>1</v>
      </c>
      <c r="R46" s="82"/>
      <c r="S46" s="82"/>
      <c r="T46" s="82" t="s">
        <v>12</v>
      </c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256" ht="13.5">
      <c r="A47" s="82"/>
      <c r="B47" s="82"/>
      <c r="C47" s="82" t="s">
        <v>49</v>
      </c>
      <c r="D47" s="82" t="s">
        <v>80</v>
      </c>
      <c r="E47" s="82"/>
      <c r="F47" s="39" t="s">
        <v>9</v>
      </c>
      <c r="G47" s="82">
        <f>G39</f>
        <v>20</v>
      </c>
      <c r="H47" s="82">
        <f>H39</f>
        <v>16</v>
      </c>
      <c r="I47" s="90">
        <f>G47*H47</f>
        <v>320</v>
      </c>
      <c r="J47" s="66">
        <f>I47*(365/12)/1000</f>
        <v>9.733333333333334</v>
      </c>
      <c r="K47" s="7">
        <f>J47/$D$4</f>
        <v>0.011450980392156864</v>
      </c>
      <c r="L47" s="91">
        <f>E47*J47/$D$4</f>
        <v>0</v>
      </c>
      <c r="M47" s="66">
        <f>J47*12</f>
        <v>116.80000000000001</v>
      </c>
      <c r="N47" s="48">
        <f>M47*$D$2*3</f>
        <v>66.57600000000001</v>
      </c>
      <c r="O47" s="89">
        <f>$M47*$D$2</f>
        <v>22.192000000000004</v>
      </c>
      <c r="P47" s="66">
        <f>Q47*H47</f>
        <v>13.333333333333334</v>
      </c>
      <c r="Q47" s="13">
        <f>G47/24</f>
        <v>0.8333333333333334</v>
      </c>
      <c r="R47" s="82"/>
      <c r="S47" s="82"/>
      <c r="T47" s="82" t="s">
        <v>12</v>
      </c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56"/>
    </row>
    <row r="48" spans="1:256" ht="13.5">
      <c r="A48" s="82"/>
      <c r="B48" s="82"/>
      <c r="C48" s="82" t="s">
        <v>34</v>
      </c>
      <c r="D48" s="82" t="s">
        <v>80</v>
      </c>
      <c r="E48" s="82"/>
      <c r="F48" s="39" t="s">
        <v>9</v>
      </c>
      <c r="G48" s="82">
        <v>24</v>
      </c>
      <c r="H48" s="82">
        <v>2</v>
      </c>
      <c r="I48" s="90">
        <f>G48*H48</f>
        <v>48</v>
      </c>
      <c r="J48" s="66">
        <f>I48*(365/12)/1000</f>
        <v>1.46</v>
      </c>
      <c r="K48" s="7">
        <f>J48/$D$4</f>
        <v>0.0017176470588235295</v>
      </c>
      <c r="L48" s="91">
        <f>E48*J48/$D$4</f>
        <v>0</v>
      </c>
      <c r="M48" s="66">
        <f>J48*12</f>
        <v>17.52</v>
      </c>
      <c r="N48" s="48">
        <f>M48*$D$2*3</f>
        <v>9.9864</v>
      </c>
      <c r="O48" s="89">
        <f>$M48*$D$2</f>
        <v>3.3287999999999998</v>
      </c>
      <c r="P48" s="66">
        <f>Q48*H48</f>
        <v>2</v>
      </c>
      <c r="Q48" s="13">
        <f>G48/24</f>
        <v>1</v>
      </c>
      <c r="R48" s="82"/>
      <c r="S48" s="82"/>
      <c r="T48" s="82" t="s">
        <v>12</v>
      </c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56"/>
    </row>
    <row r="49" spans="1:256" ht="13.5">
      <c r="A49" s="65"/>
      <c r="B49" s="65"/>
      <c r="C49" s="65" t="s">
        <v>130</v>
      </c>
      <c r="D49" s="65"/>
      <c r="E49" s="65"/>
      <c r="F49" s="20" t="s">
        <v>24</v>
      </c>
      <c r="G49" s="65">
        <v>24</v>
      </c>
      <c r="H49" s="65">
        <f>H34-20</f>
        <v>34</v>
      </c>
      <c r="I49" s="12">
        <f>G49*H49</f>
        <v>816</v>
      </c>
      <c r="J49" s="22">
        <f>I49*(365/12)/1000</f>
        <v>24.82</v>
      </c>
      <c r="K49" s="28">
        <f>J49/$D$4</f>
        <v>0.0292</v>
      </c>
      <c r="L49" s="19">
        <f>E49*J49/$D$4</f>
        <v>0</v>
      </c>
      <c r="M49" s="22">
        <f>J49*12</f>
        <v>297.84000000000003</v>
      </c>
      <c r="N49" s="71">
        <f>M49*$D$2*3</f>
        <v>169.7688</v>
      </c>
      <c r="O49" s="41">
        <f>$M49*$D$2</f>
        <v>56.589600000000004</v>
      </c>
      <c r="P49" s="22">
        <f>Q49*H49</f>
        <v>34</v>
      </c>
      <c r="Q49" s="45">
        <f>G49/24</f>
        <v>1</v>
      </c>
      <c r="R49" s="65"/>
      <c r="S49" s="65"/>
      <c r="T49" s="65" t="s">
        <v>12</v>
      </c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0" ht="13.5">
      <c r="A50" s="58"/>
      <c r="B50" s="58"/>
      <c r="C50" s="58"/>
      <c r="D50" s="58"/>
      <c r="E50" s="58"/>
      <c r="F50" s="14"/>
      <c r="G50" s="58"/>
      <c r="H50" s="58"/>
      <c r="I50" s="42"/>
      <c r="J50" s="6"/>
      <c r="K50" s="84"/>
      <c r="L50" s="33"/>
      <c r="M50" s="23"/>
      <c r="N50" s="94"/>
      <c r="O50" s="94"/>
      <c r="P50" s="23"/>
      <c r="Q50" s="24"/>
      <c r="R50" s="58"/>
      <c r="S50" s="58"/>
      <c r="T50" s="58"/>
    </row>
    <row r="51" spans="1:256" ht="13.5">
      <c r="A51" s="11"/>
      <c r="B51" s="11" t="s">
        <v>176</v>
      </c>
      <c r="C51" s="11"/>
      <c r="D51" s="11" t="s">
        <v>6</v>
      </c>
      <c r="E51" s="11">
        <v>1</v>
      </c>
      <c r="F51" s="2"/>
      <c r="G51" s="11">
        <v>24</v>
      </c>
      <c r="H51" s="11">
        <f>SUM(H52:H54)</f>
        <v>36</v>
      </c>
      <c r="I51" s="4">
        <f>G51*H51</f>
        <v>864</v>
      </c>
      <c r="J51" s="83">
        <f>I51*(365/12)/1000</f>
        <v>26.28</v>
      </c>
      <c r="K51" s="33">
        <f>J51/$D$4</f>
        <v>0.030917647058823532</v>
      </c>
      <c r="L51" s="33">
        <f>E51*J51/$D$4</f>
        <v>0.030917647058823532</v>
      </c>
      <c r="M51" s="38">
        <f>J51*12</f>
        <v>315.36</v>
      </c>
      <c r="N51" s="63">
        <f>M51*$D$2*3</f>
        <v>179.7552</v>
      </c>
      <c r="O51" s="63">
        <f>$M51*$D$2</f>
        <v>59.918400000000005</v>
      </c>
      <c r="P51" s="38">
        <f>Q51*H51</f>
        <v>36</v>
      </c>
      <c r="Q51" s="40">
        <f>G51/24</f>
        <v>1</v>
      </c>
      <c r="R51" s="11"/>
      <c r="S51" s="11"/>
      <c r="T51" s="11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0" ht="13.5">
      <c r="A52" s="58"/>
      <c r="B52" s="87" t="s">
        <v>4</v>
      </c>
      <c r="C52" s="58" t="s">
        <v>5</v>
      </c>
      <c r="D52" s="58" t="s">
        <v>6</v>
      </c>
      <c r="E52" s="58"/>
      <c r="F52" s="14"/>
      <c r="G52" s="58">
        <v>24</v>
      </c>
      <c r="H52" s="58">
        <v>28</v>
      </c>
      <c r="I52" s="42">
        <f>G52*H52</f>
        <v>672</v>
      </c>
      <c r="J52" s="6">
        <f>I52*(365/12)/1000</f>
        <v>20.44</v>
      </c>
      <c r="K52" s="84">
        <f>J52/$D$4</f>
        <v>0.024047058823529414</v>
      </c>
      <c r="L52" s="33">
        <f>E52*J52/$D$4</f>
        <v>0</v>
      </c>
      <c r="M52" s="23">
        <f>J52*12</f>
        <v>245.28000000000003</v>
      </c>
      <c r="N52" s="94">
        <f>M52*$D$2*3</f>
        <v>139.80960000000002</v>
      </c>
      <c r="O52" s="63">
        <f>$M52*$D$2</f>
        <v>46.60320000000001</v>
      </c>
      <c r="P52" s="23">
        <f>Q52*H52</f>
        <v>28</v>
      </c>
      <c r="Q52" s="24">
        <f>G52/24</f>
        <v>1</v>
      </c>
      <c r="R52" s="58"/>
      <c r="S52" s="58"/>
      <c r="T52" s="58"/>
    </row>
    <row r="53" spans="1:20" ht="13.5">
      <c r="A53" s="58"/>
      <c r="B53" s="87"/>
      <c r="C53" s="58" t="s">
        <v>44</v>
      </c>
      <c r="D53" s="58" t="s">
        <v>6</v>
      </c>
      <c r="E53" s="58"/>
      <c r="F53" s="14"/>
      <c r="G53" s="58">
        <v>24</v>
      </c>
      <c r="H53" s="58">
        <v>2</v>
      </c>
      <c r="I53" s="42">
        <f>G53*H53</f>
        <v>48</v>
      </c>
      <c r="J53" s="6">
        <f>I53*(365/12)/1000</f>
        <v>1.46</v>
      </c>
      <c r="K53" s="84">
        <f>J53/$D$4</f>
        <v>0.0017176470588235295</v>
      </c>
      <c r="L53" s="33">
        <f>E53*J53/$D$4</f>
        <v>0</v>
      </c>
      <c r="M53" s="23">
        <f>J53*12</f>
        <v>17.52</v>
      </c>
      <c r="N53" s="94">
        <f>M53*$D$2*3</f>
        <v>9.9864</v>
      </c>
      <c r="O53" s="63">
        <f>$M53*$D$2</f>
        <v>3.3287999999999998</v>
      </c>
      <c r="P53" s="23">
        <f>Q53*H53</f>
        <v>2</v>
      </c>
      <c r="Q53" s="24">
        <f>G53/24</f>
        <v>1</v>
      </c>
      <c r="R53" s="58"/>
      <c r="S53" s="58"/>
      <c r="T53" s="58"/>
    </row>
    <row r="54" spans="1:20" ht="13.5">
      <c r="A54" s="58"/>
      <c r="B54" s="87" t="s">
        <v>71</v>
      </c>
      <c r="C54" s="58" t="s">
        <v>76</v>
      </c>
      <c r="D54" s="58" t="s">
        <v>69</v>
      </c>
      <c r="E54" s="58"/>
      <c r="F54" s="14"/>
      <c r="G54" s="58">
        <v>24</v>
      </c>
      <c r="H54" s="58">
        <v>6</v>
      </c>
      <c r="I54" s="42">
        <f>G54*H54</f>
        <v>144</v>
      </c>
      <c r="J54" s="6">
        <f>I54*(365/12)/1000</f>
        <v>4.38</v>
      </c>
      <c r="K54" s="84">
        <f>J54/$D$4</f>
        <v>0.0051529411764705884</v>
      </c>
      <c r="L54" s="33">
        <f>E54*J54/$D$4</f>
        <v>0</v>
      </c>
      <c r="M54" s="23">
        <f>J54*12</f>
        <v>52.56</v>
      </c>
      <c r="N54" s="94">
        <f>M54*$D$2*3</f>
        <v>29.9592</v>
      </c>
      <c r="O54" s="63">
        <f>$M54*$D$2</f>
        <v>9.9864</v>
      </c>
      <c r="P54" s="23">
        <f>Q54*H54</f>
        <v>6</v>
      </c>
      <c r="Q54" s="24">
        <f>G54/24</f>
        <v>1</v>
      </c>
      <c r="R54" s="58"/>
      <c r="S54" s="58"/>
      <c r="T54" s="58"/>
    </row>
    <row r="55" spans="1:20" ht="13.5">
      <c r="A55" s="58"/>
      <c r="B55" s="58"/>
      <c r="C55" s="58"/>
      <c r="D55" s="58"/>
      <c r="E55" s="58"/>
      <c r="F55" s="14"/>
      <c r="G55" s="58"/>
      <c r="H55" s="58"/>
      <c r="I55" s="42"/>
      <c r="J55" s="6"/>
      <c r="K55" s="84"/>
      <c r="L55" s="33"/>
      <c r="M55" s="23"/>
      <c r="N55" s="94"/>
      <c r="O55" s="94"/>
      <c r="P55" s="23"/>
      <c r="Q55" s="24"/>
      <c r="R55" s="58"/>
      <c r="S55" s="58"/>
      <c r="T55" s="58"/>
    </row>
    <row r="56" spans="1:256" ht="13.5">
      <c r="A56" s="82"/>
      <c r="B56" s="82"/>
      <c r="C56" s="82" t="str">
        <f>C54</f>
        <v>Elliptical trainer</v>
      </c>
      <c r="D56" s="82" t="s">
        <v>51</v>
      </c>
      <c r="E56" s="82"/>
      <c r="F56" s="39" t="s">
        <v>9</v>
      </c>
      <c r="G56" s="82">
        <v>24</v>
      </c>
      <c r="H56" s="82">
        <f>H54</f>
        <v>6</v>
      </c>
      <c r="I56" s="90">
        <f>G56*H56</f>
        <v>144</v>
      </c>
      <c r="J56" s="66">
        <f>I56*(365/12)/1000</f>
        <v>4.38</v>
      </c>
      <c r="K56" s="7">
        <f>J56/$D$4</f>
        <v>0.0051529411764705884</v>
      </c>
      <c r="L56" s="91">
        <f>E56*J56/$D$4</f>
        <v>0</v>
      </c>
      <c r="M56" s="66">
        <f>J56*12</f>
        <v>52.56</v>
      </c>
      <c r="N56" s="48">
        <f>M56*$D$2*3</f>
        <v>29.9592</v>
      </c>
      <c r="O56" s="89">
        <f>$M56*$D$2</f>
        <v>9.9864</v>
      </c>
      <c r="P56" s="66">
        <f>Q56*H56</f>
        <v>6</v>
      </c>
      <c r="Q56" s="13">
        <f>G56/24</f>
        <v>1</v>
      </c>
      <c r="R56" s="82"/>
      <c r="S56" s="82"/>
      <c r="T56" s="82" t="s">
        <v>12</v>
      </c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</row>
    <row r="57" spans="1:256" ht="13.5">
      <c r="A57" s="82"/>
      <c r="B57" s="82"/>
      <c r="C57" s="82" t="s">
        <v>44</v>
      </c>
      <c r="D57" s="82" t="s">
        <v>160</v>
      </c>
      <c r="E57" s="82"/>
      <c r="F57" s="39" t="s">
        <v>9</v>
      </c>
      <c r="G57" s="82">
        <v>24</v>
      </c>
      <c r="H57" s="82">
        <f>H53</f>
        <v>2</v>
      </c>
      <c r="I57" s="90">
        <f>G57*H57</f>
        <v>48</v>
      </c>
      <c r="J57" s="66">
        <f>I57*(365/12)/1000</f>
        <v>1.46</v>
      </c>
      <c r="K57" s="7">
        <f>J57/$D$4</f>
        <v>0.0017176470588235295</v>
      </c>
      <c r="L57" s="91">
        <f>E57*J57/$D$4</f>
        <v>0</v>
      </c>
      <c r="M57" s="66">
        <f>J57*12</f>
        <v>17.52</v>
      </c>
      <c r="N57" s="48">
        <f>M57*$D$2*3</f>
        <v>9.9864</v>
      </c>
      <c r="O57" s="89">
        <f>$M57*$D$2</f>
        <v>3.3287999999999998</v>
      </c>
      <c r="P57" s="66">
        <f>Q57*H57</f>
        <v>2</v>
      </c>
      <c r="Q57" s="13">
        <f>G57/24</f>
        <v>1</v>
      </c>
      <c r="R57" s="82"/>
      <c r="S57" s="82"/>
      <c r="T57" s="82" t="s">
        <v>12</v>
      </c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</row>
    <row r="58" spans="1:256" ht="13.5">
      <c r="A58" s="82"/>
      <c r="B58" s="82" t="s">
        <v>58</v>
      </c>
      <c r="C58" s="82" t="str">
        <f>C52</f>
        <v>Series1 TiVo (hacked w/ 2drives)</v>
      </c>
      <c r="D58" s="82" t="s">
        <v>172</v>
      </c>
      <c r="E58" s="82"/>
      <c r="F58" s="39" t="s">
        <v>9</v>
      </c>
      <c r="G58" s="82">
        <v>24</v>
      </c>
      <c r="H58" s="82">
        <f>H52</f>
        <v>28</v>
      </c>
      <c r="I58" s="90">
        <f>G58*H58</f>
        <v>672</v>
      </c>
      <c r="J58" s="66">
        <f>I58*(365/12)/1000</f>
        <v>20.44</v>
      </c>
      <c r="K58" s="7">
        <f>J58/$D$4</f>
        <v>0.024047058823529414</v>
      </c>
      <c r="L58" s="91">
        <f>E58*J58/$D$4</f>
        <v>0</v>
      </c>
      <c r="M58" s="66">
        <f>J58*12</f>
        <v>245.28000000000003</v>
      </c>
      <c r="N58" s="48">
        <f>M58*$D$2*3</f>
        <v>139.80960000000002</v>
      </c>
      <c r="O58" s="89">
        <f>$M58*$D$2</f>
        <v>46.60320000000001</v>
      </c>
      <c r="P58" s="66">
        <f>Q58*H58</f>
        <v>28</v>
      </c>
      <c r="Q58" s="13">
        <f>G58/24</f>
        <v>1</v>
      </c>
      <c r="R58" s="82"/>
      <c r="S58" s="82"/>
      <c r="T58" s="82" t="s">
        <v>12</v>
      </c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</row>
    <row r="59" spans="1:20" ht="13.5">
      <c r="A59" s="58"/>
      <c r="B59" s="58"/>
      <c r="C59" s="58"/>
      <c r="D59" s="58"/>
      <c r="E59" s="58"/>
      <c r="F59" s="14"/>
      <c r="G59" s="58"/>
      <c r="H59" s="58"/>
      <c r="I59" s="42"/>
      <c r="J59" s="6"/>
      <c r="K59" s="84"/>
      <c r="L59" s="33"/>
      <c r="M59" s="23"/>
      <c r="N59" s="94"/>
      <c r="O59" s="94"/>
      <c r="P59" s="23"/>
      <c r="Q59" s="24"/>
      <c r="R59" s="58"/>
      <c r="S59" s="58"/>
      <c r="T59" s="58"/>
    </row>
    <row r="60" spans="1:256" ht="13.5">
      <c r="A60" s="11"/>
      <c r="B60" s="11" t="s">
        <v>31</v>
      </c>
      <c r="C60" s="11"/>
      <c r="D60" s="11" t="s">
        <v>6</v>
      </c>
      <c r="E60" s="11">
        <v>1</v>
      </c>
      <c r="F60" s="2"/>
      <c r="G60" s="11">
        <v>24</v>
      </c>
      <c r="H60" s="85">
        <f>SUMPRODUCT(G61:G66,H61:H66)/24</f>
        <v>31.783333333333335</v>
      </c>
      <c r="I60" s="4">
        <f>G60*H60</f>
        <v>762.8000000000001</v>
      </c>
      <c r="J60" s="83">
        <f>I60*(365/12)/1000</f>
        <v>23.201833333333337</v>
      </c>
      <c r="K60" s="33">
        <f>J60/$D$4</f>
        <v>0.027296274509803927</v>
      </c>
      <c r="L60" s="33">
        <f>E60*J60/$D$4</f>
        <v>0.027296274509803927</v>
      </c>
      <c r="M60" s="38">
        <f>J60*12</f>
        <v>278.422</v>
      </c>
      <c r="N60" s="63">
        <f>M60*$D$2*3</f>
        <v>158.70054000000002</v>
      </c>
      <c r="O60" s="63">
        <f>$M60*$D$2</f>
        <v>52.900180000000006</v>
      </c>
      <c r="P60" s="38">
        <f>Q60*H60</f>
        <v>31.783333333333335</v>
      </c>
      <c r="Q60" s="40">
        <f>G60/24</f>
        <v>1</v>
      </c>
      <c r="R60" s="11"/>
      <c r="S60" s="11"/>
      <c r="T60" s="11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</row>
    <row r="61" spans="1:20" ht="13.5">
      <c r="A61" s="58"/>
      <c r="B61" s="87"/>
      <c r="C61" s="58" t="s">
        <v>66</v>
      </c>
      <c r="D61" s="58" t="s">
        <v>67</v>
      </c>
      <c r="E61" s="58"/>
      <c r="F61" s="14"/>
      <c r="G61" s="58">
        <v>4</v>
      </c>
      <c r="H61" s="58">
        <v>64</v>
      </c>
      <c r="I61" s="42">
        <f>G61*H61</f>
        <v>256</v>
      </c>
      <c r="J61" s="6">
        <f>I61*(365/12)/1000</f>
        <v>7.786666666666667</v>
      </c>
      <c r="K61" s="84">
        <f>J61/$D$4</f>
        <v>0.00916078431372549</v>
      </c>
      <c r="L61" s="33">
        <f>E61*J61/$D$4</f>
        <v>0</v>
      </c>
      <c r="M61" s="23">
        <f>J61*12</f>
        <v>93.44</v>
      </c>
      <c r="N61" s="94">
        <f>M61*$D$2*3</f>
        <v>53.260799999999996</v>
      </c>
      <c r="O61" s="63">
        <f>$M61*$D$2</f>
        <v>17.7536</v>
      </c>
      <c r="P61" s="23">
        <f>Q61*H61</f>
        <v>10.666666666666666</v>
      </c>
      <c r="Q61" s="24">
        <f>G61/24</f>
        <v>0.16666666666666666</v>
      </c>
      <c r="R61" s="58"/>
      <c r="S61" s="58" t="s">
        <v>70</v>
      </c>
      <c r="T61" s="58"/>
    </row>
    <row r="62" spans="1:20" ht="13.5">
      <c r="A62" s="58"/>
      <c r="B62" s="87"/>
      <c r="C62" s="58" t="s">
        <v>91</v>
      </c>
      <c r="D62" s="58" t="s">
        <v>92</v>
      </c>
      <c r="E62" s="58"/>
      <c r="F62" s="14"/>
      <c r="G62" s="58">
        <v>24</v>
      </c>
      <c r="H62" s="58">
        <v>3</v>
      </c>
      <c r="I62" s="42">
        <f>G62*H62</f>
        <v>72</v>
      </c>
      <c r="J62" s="6">
        <f>I62*(365/12)/1000</f>
        <v>2.19</v>
      </c>
      <c r="K62" s="84">
        <f>J62/$D$4</f>
        <v>0.0025764705882352942</v>
      </c>
      <c r="L62" s="33">
        <f>E62*J62/$D$4</f>
        <v>0</v>
      </c>
      <c r="M62" s="23">
        <f>J62*12</f>
        <v>26.28</v>
      </c>
      <c r="N62" s="94">
        <f>M62*$D$2*3</f>
        <v>14.9796</v>
      </c>
      <c r="O62" s="63">
        <f>$M62*$D$2</f>
        <v>4.9932</v>
      </c>
      <c r="P62" s="23">
        <f>Q62*H62</f>
        <v>3</v>
      </c>
      <c r="Q62" s="24">
        <f>G62/24</f>
        <v>1</v>
      </c>
      <c r="R62" s="58"/>
      <c r="S62" s="58"/>
      <c r="T62" s="58"/>
    </row>
    <row r="63" spans="1:20" ht="13.5">
      <c r="A63" s="58"/>
      <c r="B63" s="87" t="s">
        <v>4</v>
      </c>
      <c r="C63" s="58" t="s">
        <v>13</v>
      </c>
      <c r="D63" s="58" t="s">
        <v>50</v>
      </c>
      <c r="E63" s="58"/>
      <c r="F63" s="14"/>
      <c r="G63" s="58">
        <v>23.8</v>
      </c>
      <c r="H63" s="58">
        <v>16</v>
      </c>
      <c r="I63" s="42">
        <f>G63*H63</f>
        <v>380.8</v>
      </c>
      <c r="J63" s="6">
        <f>I63*(365/12)/1000</f>
        <v>11.582666666666668</v>
      </c>
      <c r="K63" s="84">
        <f>J63/$D$4</f>
        <v>0.013626666666666669</v>
      </c>
      <c r="L63" s="33">
        <f>E63*J63/$D$4</f>
        <v>0</v>
      </c>
      <c r="M63" s="23">
        <f>J63*12</f>
        <v>138.99200000000002</v>
      </c>
      <c r="N63" s="94">
        <f>M63*$D$2*3</f>
        <v>79.22544000000002</v>
      </c>
      <c r="O63" s="63">
        <f>$M63*$D$2</f>
        <v>26.408480000000004</v>
      </c>
      <c r="P63" s="23">
        <f>Q63*H63</f>
        <v>15.866666666666667</v>
      </c>
      <c r="Q63" s="24">
        <f>G63/24</f>
        <v>0.9916666666666667</v>
      </c>
      <c r="R63" s="58"/>
      <c r="S63" s="58"/>
      <c r="T63" s="58"/>
    </row>
    <row r="64" spans="1:20" ht="13.5">
      <c r="A64" s="58"/>
      <c r="B64" s="87"/>
      <c r="C64" s="58" t="s">
        <v>13</v>
      </c>
      <c r="D64" s="58" t="s">
        <v>14</v>
      </c>
      <c r="E64" s="58"/>
      <c r="F64" s="14"/>
      <c r="G64" s="58">
        <v>0.2</v>
      </c>
      <c r="H64" s="58">
        <v>30</v>
      </c>
      <c r="I64" s="42">
        <f>G64*H64</f>
        <v>6</v>
      </c>
      <c r="J64" s="6">
        <f>I64*(365/12)/1000</f>
        <v>0.1825</v>
      </c>
      <c r="K64" s="84">
        <f>J64/$D$4</f>
        <v>0.00021470588235294118</v>
      </c>
      <c r="L64" s="33">
        <f>E64*J64/$D$4</f>
        <v>0</v>
      </c>
      <c r="M64" s="23">
        <f>J64*12</f>
        <v>2.19</v>
      </c>
      <c r="N64" s="94">
        <f>M64*$D$2*3</f>
        <v>1.2483</v>
      </c>
      <c r="O64" s="63">
        <f>$M64*$D$2</f>
        <v>0.41609999999999997</v>
      </c>
      <c r="P64" s="23">
        <f>Q64*H64</f>
        <v>0.25</v>
      </c>
      <c r="Q64" s="24">
        <f>G64/24</f>
        <v>0.008333333333333333</v>
      </c>
      <c r="R64" s="58"/>
      <c r="S64" s="58"/>
      <c r="T64" s="58"/>
    </row>
    <row r="65" spans="1:20" ht="13.5">
      <c r="A65" s="58"/>
      <c r="B65" s="87"/>
      <c r="C65" s="58" t="s">
        <v>171</v>
      </c>
      <c r="D65" s="58" t="s">
        <v>69</v>
      </c>
      <c r="E65" s="58"/>
      <c r="F65" s="14"/>
      <c r="G65" s="58">
        <v>24</v>
      </c>
      <c r="H65" s="58">
        <v>2</v>
      </c>
      <c r="I65" s="42">
        <f>G65*H65</f>
        <v>48</v>
      </c>
      <c r="J65" s="6">
        <f>I65*(365/12)/1000</f>
        <v>1.46</v>
      </c>
      <c r="K65" s="84">
        <f>J65/$D$4</f>
        <v>0.0017176470588235295</v>
      </c>
      <c r="L65" s="33">
        <f>E65*J65/$D$4</f>
        <v>0</v>
      </c>
      <c r="M65" s="23">
        <f>J65*12</f>
        <v>17.52</v>
      </c>
      <c r="N65" s="94">
        <f>M65*$D$2*3</f>
        <v>9.9864</v>
      </c>
      <c r="O65" s="63">
        <f>$M65*$D$2</f>
        <v>3.3287999999999998</v>
      </c>
      <c r="P65" s="23">
        <f>Q65*H65</f>
        <v>2</v>
      </c>
      <c r="Q65" s="24">
        <f>G65/24</f>
        <v>1</v>
      </c>
      <c r="R65" s="58"/>
      <c r="S65" s="58"/>
      <c r="T65" s="58"/>
    </row>
    <row r="66" spans="1:20" ht="13.5">
      <c r="A66" s="58"/>
      <c r="B66" s="87"/>
      <c r="C66" s="58"/>
      <c r="D66" s="58"/>
      <c r="E66" s="58"/>
      <c r="F66" s="14"/>
      <c r="G66" s="58"/>
      <c r="H66" s="58"/>
      <c r="I66" s="42">
        <f>G66*H66</f>
        <v>0</v>
      </c>
      <c r="J66" s="6">
        <f>I66*(365/12)/1000</f>
        <v>0</v>
      </c>
      <c r="K66" s="84">
        <f>J66/$D$4</f>
        <v>0</v>
      </c>
      <c r="L66" s="33">
        <f>E66*J66/$D$4</f>
        <v>0</v>
      </c>
      <c r="M66" s="23">
        <f>J66*12</f>
        <v>0</v>
      </c>
      <c r="N66" s="94">
        <f>M66*$D$2*3</f>
        <v>0</v>
      </c>
      <c r="O66" s="63">
        <f>$M66*$D$2</f>
        <v>0</v>
      </c>
      <c r="P66" s="23">
        <f>Q66*H66</f>
        <v>0</v>
      </c>
      <c r="Q66" s="24">
        <f>G66/24</f>
        <v>0</v>
      </c>
      <c r="R66" s="58"/>
      <c r="S66" s="58"/>
      <c r="T66" s="58"/>
    </row>
    <row r="67" spans="1:20" ht="13.5">
      <c r="A67" s="58"/>
      <c r="B67" s="58"/>
      <c r="C67" s="58"/>
      <c r="D67" s="58"/>
      <c r="E67" s="58"/>
      <c r="F67" s="14"/>
      <c r="G67" s="58"/>
      <c r="H67" s="58"/>
      <c r="I67" s="42">
        <f>G67*H67</f>
        <v>0</v>
      </c>
      <c r="J67" s="6">
        <f>I67*(365/12)/1000</f>
        <v>0</v>
      </c>
      <c r="K67" s="84">
        <f>J67/$D$4</f>
        <v>0</v>
      </c>
      <c r="L67" s="33">
        <f>E67*J67/$D$4</f>
        <v>0</v>
      </c>
      <c r="M67" s="23"/>
      <c r="N67" s="94"/>
      <c r="O67" s="94"/>
      <c r="P67" s="23"/>
      <c r="Q67" s="24"/>
      <c r="R67" s="58"/>
      <c r="S67" s="58"/>
      <c r="T67" s="58"/>
    </row>
    <row r="68" spans="1:256" ht="13.5">
      <c r="A68" s="56"/>
      <c r="B68" s="56" t="s">
        <v>58</v>
      </c>
      <c r="C68" s="56" t="str">
        <f>C63</f>
        <v>Yamaha stereo</v>
      </c>
      <c r="D68" s="56" t="s">
        <v>59</v>
      </c>
      <c r="E68" s="56"/>
      <c r="F68" s="15" t="s">
        <v>60</v>
      </c>
      <c r="G68" s="56">
        <f>G63</f>
        <v>23.8</v>
      </c>
      <c r="H68" s="56">
        <f>H63-1</f>
        <v>15</v>
      </c>
      <c r="I68" s="31">
        <f>G68*H68</f>
        <v>357</v>
      </c>
      <c r="J68" s="16">
        <f>I68*(365/12)/1000</f>
        <v>10.85875</v>
      </c>
      <c r="K68" s="34">
        <f>J68/$D$4</f>
        <v>0.012775</v>
      </c>
      <c r="L68" s="92">
        <f>E68*J68/$D$4</f>
        <v>0</v>
      </c>
      <c r="M68" s="16">
        <f>J68*12</f>
        <v>130.305</v>
      </c>
      <c r="N68" s="76">
        <f>M68*$D$2*3</f>
        <v>74.27385000000001</v>
      </c>
      <c r="O68" s="72">
        <f>$M68*$D$2</f>
        <v>24.75795</v>
      </c>
      <c r="P68" s="16">
        <f>Q68*H68</f>
        <v>14.875</v>
      </c>
      <c r="Q68" s="52">
        <f>G68/24</f>
        <v>0.9916666666666667</v>
      </c>
      <c r="R68" s="56"/>
      <c r="S68" s="56"/>
      <c r="T68" s="56" t="s">
        <v>12</v>
      </c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pans="1:20" ht="13.5">
      <c r="A69" s="58"/>
      <c r="B69" s="58"/>
      <c r="C69" s="58"/>
      <c r="D69" s="58"/>
      <c r="E69" s="58"/>
      <c r="F69" s="14"/>
      <c r="G69" s="58"/>
      <c r="H69" s="58"/>
      <c r="I69" s="42"/>
      <c r="J69" s="6"/>
      <c r="K69" s="84"/>
      <c r="L69" s="33"/>
      <c r="M69" s="23"/>
      <c r="N69" s="94"/>
      <c r="O69" s="94"/>
      <c r="P69" s="23"/>
      <c r="Q69" s="24"/>
      <c r="R69" s="58"/>
      <c r="S69" s="58"/>
      <c r="T69" s="58"/>
    </row>
    <row r="70" spans="1:256" ht="13.5">
      <c r="A70" s="11"/>
      <c r="B70" s="11" t="s">
        <v>110</v>
      </c>
      <c r="C70" s="11"/>
      <c r="D70" s="11"/>
      <c r="E70" s="11">
        <v>1</v>
      </c>
      <c r="F70" s="2"/>
      <c r="G70" s="11">
        <v>24</v>
      </c>
      <c r="H70" s="85">
        <f>SUMPRODUCT(G71:G72,H71:H72)/24</f>
        <v>260.3333333333333</v>
      </c>
      <c r="I70" s="4">
        <f>G70*H70</f>
        <v>6248</v>
      </c>
      <c r="J70" s="83">
        <f>I70*(365/12)/1000</f>
        <v>190.04333333333335</v>
      </c>
      <c r="K70" s="33">
        <f>J70/$D$4</f>
        <v>0.22358039215686276</v>
      </c>
      <c r="L70" s="33">
        <f>E70*J70/$D$4</f>
        <v>0.22358039215686276</v>
      </c>
      <c r="M70" s="38">
        <f>J70*12</f>
        <v>2280.5200000000004</v>
      </c>
      <c r="N70" s="63">
        <f>M70*$D$2*3</f>
        <v>1299.8964000000003</v>
      </c>
      <c r="O70" s="63">
        <f>$M70*$D$2</f>
        <v>433.2988000000001</v>
      </c>
      <c r="P70" s="38">
        <f>Q70*H70</f>
        <v>260.3333333333333</v>
      </c>
      <c r="Q70" s="40">
        <f>G70/24</f>
        <v>1</v>
      </c>
      <c r="R70" s="11"/>
      <c r="S70" s="11" t="s">
        <v>112</v>
      </c>
      <c r="T70" s="11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</row>
    <row r="71" spans="1:20" ht="13.5">
      <c r="A71" s="58"/>
      <c r="B71" s="87"/>
      <c r="C71" s="58" t="s">
        <v>134</v>
      </c>
      <c r="D71" s="58"/>
      <c r="E71" s="58"/>
      <c r="F71" s="14"/>
      <c r="G71" s="58">
        <v>4</v>
      </c>
      <c r="H71" s="58">
        <v>437</v>
      </c>
      <c r="I71" s="42">
        <f>G71*H71</f>
        <v>1748</v>
      </c>
      <c r="J71" s="6">
        <f>I71*(365/12)/1000</f>
        <v>53.16833333333334</v>
      </c>
      <c r="K71" s="84">
        <f>J71/$D$4</f>
        <v>0.06255098039215687</v>
      </c>
      <c r="L71" s="33">
        <f>E71*J71/$D$4</f>
        <v>0</v>
      </c>
      <c r="M71" s="23">
        <f>J71*12</f>
        <v>638.02</v>
      </c>
      <c r="N71" s="94">
        <f>M71*$D$2*3</f>
        <v>363.6714</v>
      </c>
      <c r="O71" s="63">
        <f>$M71*$D$2</f>
        <v>121.2238</v>
      </c>
      <c r="P71" s="23">
        <f>Q71*H71</f>
        <v>72.83333333333333</v>
      </c>
      <c r="Q71" s="24">
        <f>G71/24</f>
        <v>0.16666666666666666</v>
      </c>
      <c r="R71" s="58"/>
      <c r="S71" s="58"/>
      <c r="T71" s="58"/>
    </row>
    <row r="72" spans="1:20" ht="13.5">
      <c r="A72" s="58"/>
      <c r="B72" s="87"/>
      <c r="C72" s="58" t="s">
        <v>167</v>
      </c>
      <c r="D72" s="58"/>
      <c r="E72" s="58"/>
      <c r="F72" s="14"/>
      <c r="G72" s="58">
        <v>20</v>
      </c>
      <c r="H72" s="58">
        <v>225</v>
      </c>
      <c r="I72" s="42">
        <f>G72*H72</f>
        <v>4500</v>
      </c>
      <c r="J72" s="6">
        <f>I72*(365/12)/1000</f>
        <v>136.875</v>
      </c>
      <c r="K72" s="84">
        <f>J72/$D$4</f>
        <v>0.1610294117647059</v>
      </c>
      <c r="L72" s="33">
        <f>E72*J72/$D$4</f>
        <v>0</v>
      </c>
      <c r="M72" s="23">
        <f>J72*12</f>
        <v>1642.5</v>
      </c>
      <c r="N72" s="94">
        <f>M72*$D$2*3</f>
        <v>936.2249999999999</v>
      </c>
      <c r="O72" s="63">
        <f>$M72*$D$2</f>
        <v>312.075</v>
      </c>
      <c r="P72" s="23">
        <f>Q72*H72</f>
        <v>187.5</v>
      </c>
      <c r="Q72" s="24">
        <f>G72/24</f>
        <v>0.8333333333333334</v>
      </c>
      <c r="R72" s="58"/>
      <c r="S72" s="58"/>
      <c r="T72" s="58"/>
    </row>
    <row r="73" spans="1:20" ht="13.5">
      <c r="A73" s="58"/>
      <c r="B73" s="87"/>
      <c r="C73" s="58" t="s">
        <v>13</v>
      </c>
      <c r="D73" s="58" t="s">
        <v>50</v>
      </c>
      <c r="E73" s="58"/>
      <c r="F73" s="14"/>
      <c r="G73" s="58">
        <v>23.8</v>
      </c>
      <c r="H73" s="58">
        <v>16</v>
      </c>
      <c r="I73" s="42">
        <f>G73*H73</f>
        <v>380.8</v>
      </c>
      <c r="J73" s="6">
        <f>I73*(365/12)/1000</f>
        <v>11.582666666666668</v>
      </c>
      <c r="K73" s="84">
        <f>J73/$D$4</f>
        <v>0.013626666666666669</v>
      </c>
      <c r="L73" s="33">
        <f>E73*J73/$D$4</f>
        <v>0</v>
      </c>
      <c r="M73" s="23">
        <f>J73*12</f>
        <v>138.99200000000002</v>
      </c>
      <c r="N73" s="94">
        <f>M73*$D$2*3</f>
        <v>79.22544000000002</v>
      </c>
      <c r="O73" s="63">
        <f>$M73*$D$2</f>
        <v>26.408480000000004</v>
      </c>
      <c r="P73" s="23">
        <f>Q73*H73</f>
        <v>15.866666666666667</v>
      </c>
      <c r="Q73" s="24">
        <f>G73/24</f>
        <v>0.9916666666666667</v>
      </c>
      <c r="R73" s="58"/>
      <c r="S73" s="58"/>
      <c r="T73" s="58"/>
    </row>
    <row r="74" spans="1:20" ht="13.5">
      <c r="A74" s="58"/>
      <c r="B74" s="87"/>
      <c r="C74" s="58" t="s">
        <v>13</v>
      </c>
      <c r="D74" s="58" t="s">
        <v>14</v>
      </c>
      <c r="E74" s="58"/>
      <c r="F74" s="14"/>
      <c r="G74" s="58">
        <v>0.2</v>
      </c>
      <c r="H74" s="58">
        <v>30</v>
      </c>
      <c r="I74" s="42">
        <f>G74*H74</f>
        <v>6</v>
      </c>
      <c r="J74" s="6">
        <f>I74*(365/12)/1000</f>
        <v>0.1825</v>
      </c>
      <c r="K74" s="84">
        <f>J74/$D$4</f>
        <v>0.00021470588235294118</v>
      </c>
      <c r="L74" s="33">
        <f>E74*J74/$D$4</f>
        <v>0</v>
      </c>
      <c r="M74" s="23">
        <f>J74*12</f>
        <v>2.19</v>
      </c>
      <c r="N74" s="94">
        <f>M74*$D$2*3</f>
        <v>1.2483</v>
      </c>
      <c r="O74" s="63">
        <f>$M74*$D$2</f>
        <v>0.41609999999999997</v>
      </c>
      <c r="P74" s="23">
        <f>Q74*H74</f>
        <v>0.25</v>
      </c>
      <c r="Q74" s="24">
        <f>G74/24</f>
        <v>0.008333333333333333</v>
      </c>
      <c r="R74" s="58"/>
      <c r="S74" s="58"/>
      <c r="T74" s="58"/>
    </row>
    <row r="75" spans="1:20" ht="13.5">
      <c r="A75" s="58"/>
      <c r="B75" s="87"/>
      <c r="C75" s="58" t="s">
        <v>49</v>
      </c>
      <c r="D75" s="58" t="s">
        <v>50</v>
      </c>
      <c r="E75" s="58"/>
      <c r="F75" s="14"/>
      <c r="G75" s="58">
        <v>24</v>
      </c>
      <c r="H75" s="58">
        <v>6</v>
      </c>
      <c r="I75" s="42">
        <f>G75*H75</f>
        <v>144</v>
      </c>
      <c r="J75" s="6">
        <f>I75*(365/12)/1000</f>
        <v>4.38</v>
      </c>
      <c r="K75" s="84">
        <f>J75/$D$4</f>
        <v>0.0051529411764705884</v>
      </c>
      <c r="L75" s="33">
        <f>E75*J75/$D$4</f>
        <v>0</v>
      </c>
      <c r="M75" s="23">
        <f>J75*12</f>
        <v>52.56</v>
      </c>
      <c r="N75" s="94">
        <f>M75*$D$2*3</f>
        <v>29.9592</v>
      </c>
      <c r="O75" s="63">
        <f>$M75*$D$2</f>
        <v>9.9864</v>
      </c>
      <c r="P75" s="23">
        <f>Q75*H75</f>
        <v>6</v>
      </c>
      <c r="Q75" s="24">
        <f>G75/24</f>
        <v>1</v>
      </c>
      <c r="R75" s="58"/>
      <c r="S75" s="58"/>
      <c r="T75" s="58"/>
    </row>
    <row r="76" spans="1:20" ht="13.5">
      <c r="A76" s="58"/>
      <c r="B76" s="87" t="s">
        <v>4</v>
      </c>
      <c r="C76" s="58" t="s">
        <v>79</v>
      </c>
      <c r="D76" s="58" t="s">
        <v>6</v>
      </c>
      <c r="E76" s="58"/>
      <c r="F76" s="14"/>
      <c r="G76" s="58">
        <v>24</v>
      </c>
      <c r="H76" s="58">
        <v>20</v>
      </c>
      <c r="I76" s="42">
        <f>G76*H76</f>
        <v>480</v>
      </c>
      <c r="J76" s="6">
        <f>I76*(365/12)/1000</f>
        <v>14.6</v>
      </c>
      <c r="K76" s="84">
        <f>J76/$D$4</f>
        <v>0.017176470588235293</v>
      </c>
      <c r="L76" s="33">
        <f>E76*J76/$D$4</f>
        <v>0</v>
      </c>
      <c r="M76" s="23">
        <f>J76*12</f>
        <v>175.2</v>
      </c>
      <c r="N76" s="94">
        <f>M76*$D$2*3</f>
        <v>99.86399999999999</v>
      </c>
      <c r="O76" s="63">
        <f>$M76*$D$2</f>
        <v>33.288</v>
      </c>
      <c r="P76" s="23">
        <f>Q76*H76</f>
        <v>20</v>
      </c>
      <c r="Q76" s="24">
        <f>G76/24</f>
        <v>1</v>
      </c>
      <c r="R76" s="58"/>
      <c r="S76" s="58"/>
      <c r="T76" s="58"/>
    </row>
    <row r="77" spans="1:20" ht="13.5">
      <c r="A77" s="58"/>
      <c r="B77" s="87"/>
      <c r="C77" s="58" t="s">
        <v>103</v>
      </c>
      <c r="D77" s="58" t="s">
        <v>16</v>
      </c>
      <c r="E77" s="58"/>
      <c r="F77" s="14"/>
      <c r="G77" s="58">
        <v>24</v>
      </c>
      <c r="H77" s="58">
        <v>3</v>
      </c>
      <c r="I77" s="42">
        <f>G77*H77</f>
        <v>72</v>
      </c>
      <c r="J77" s="6">
        <f>I77*(365/12)/1000</f>
        <v>2.19</v>
      </c>
      <c r="K77" s="84">
        <f>J77/$D$4</f>
        <v>0.0025764705882352942</v>
      </c>
      <c r="L77" s="33">
        <f>E77*J77/$D$4</f>
        <v>0</v>
      </c>
      <c r="M77" s="23">
        <f>J77*12</f>
        <v>26.28</v>
      </c>
      <c r="N77" s="94">
        <f>M77*$D$2*3</f>
        <v>14.9796</v>
      </c>
      <c r="O77" s="63">
        <f>$M77*$D$2</f>
        <v>4.9932</v>
      </c>
      <c r="P77" s="23">
        <f>Q77*H77</f>
        <v>3</v>
      </c>
      <c r="Q77" s="24">
        <f>G77/24</f>
        <v>1</v>
      </c>
      <c r="R77" s="58"/>
      <c r="S77" s="58"/>
      <c r="T77" s="58"/>
    </row>
    <row r="78" spans="1:20" ht="13.5">
      <c r="A78" s="58"/>
      <c r="B78" s="87"/>
      <c r="C78" s="58" t="s">
        <v>127</v>
      </c>
      <c r="D78" s="58" t="s">
        <v>128</v>
      </c>
      <c r="E78" s="58"/>
      <c r="F78" s="14"/>
      <c r="G78" s="58">
        <v>0.05</v>
      </c>
      <c r="H78" s="58">
        <v>730</v>
      </c>
      <c r="I78" s="42">
        <f>G78*H78</f>
        <v>36.5</v>
      </c>
      <c r="J78" s="6">
        <f>I78*(365/12)/1000</f>
        <v>1.1102083333333335</v>
      </c>
      <c r="K78" s="84">
        <f>J78/$D$4</f>
        <v>0.0013061274509803924</v>
      </c>
      <c r="L78" s="33">
        <f>E78*J78/$D$4</f>
        <v>0</v>
      </c>
      <c r="M78" s="23">
        <f>J78*12</f>
        <v>13.322500000000002</v>
      </c>
      <c r="N78" s="94">
        <f>M78*$D$2*3</f>
        <v>7.593825000000001</v>
      </c>
      <c r="O78" s="63">
        <f>$M78*$D$2</f>
        <v>2.5312750000000004</v>
      </c>
      <c r="P78" s="23">
        <f>Q78*H78</f>
        <v>1.5208333333333333</v>
      </c>
      <c r="Q78" s="24">
        <f>G78/24</f>
        <v>0.0020833333333333333</v>
      </c>
      <c r="R78" s="58"/>
      <c r="S78" s="58" t="s">
        <v>129</v>
      </c>
      <c r="T78" s="58"/>
    </row>
    <row r="79" spans="1:20" ht="13.5">
      <c r="A79" s="58"/>
      <c r="B79" s="87"/>
      <c r="C79" s="58" t="s">
        <v>127</v>
      </c>
      <c r="D79" s="58" t="s">
        <v>164</v>
      </c>
      <c r="E79" s="58"/>
      <c r="F79" s="14"/>
      <c r="G79" s="58">
        <v>0.2</v>
      </c>
      <c r="H79" s="58">
        <v>400</v>
      </c>
      <c r="I79" s="42">
        <f>G79*H79</f>
        <v>80</v>
      </c>
      <c r="J79" s="6">
        <f>I79*(365/12)/1000</f>
        <v>2.4333333333333336</v>
      </c>
      <c r="K79" s="84">
        <f>J79/$D$4</f>
        <v>0.002862745098039216</v>
      </c>
      <c r="L79" s="33">
        <f>E79*J79/$D$4</f>
        <v>0</v>
      </c>
      <c r="M79" s="23">
        <f>J79*12</f>
        <v>29.200000000000003</v>
      </c>
      <c r="N79" s="94">
        <f>M79*$D$2*3</f>
        <v>16.644000000000002</v>
      </c>
      <c r="O79" s="63">
        <f>$M79*$D$2</f>
        <v>5.548000000000001</v>
      </c>
      <c r="P79" s="23">
        <f>Q79*H79</f>
        <v>3.3333333333333335</v>
      </c>
      <c r="Q79" s="24">
        <f>G79/24</f>
        <v>0.008333333333333333</v>
      </c>
      <c r="R79" s="58"/>
      <c r="S79" s="58" t="s">
        <v>165</v>
      </c>
      <c r="T79" s="58"/>
    </row>
    <row r="80" spans="1:20" ht="13.5">
      <c r="A80" s="58"/>
      <c r="B80" s="87" t="s">
        <v>4</v>
      </c>
      <c r="C80" s="58" t="s">
        <v>127</v>
      </c>
      <c r="D80" s="58" t="s">
        <v>175</v>
      </c>
      <c r="E80" s="58"/>
      <c r="F80" s="14"/>
      <c r="G80" s="58">
        <v>24</v>
      </c>
      <c r="H80" s="58">
        <v>11</v>
      </c>
      <c r="I80" s="42">
        <f>G80*H80</f>
        <v>264</v>
      </c>
      <c r="J80" s="6">
        <f>I80*(365/12)/1000</f>
        <v>8.03</v>
      </c>
      <c r="K80" s="84">
        <f>J80/$D$4</f>
        <v>0.00944705882352941</v>
      </c>
      <c r="L80" s="33">
        <f>E80*J80/$D$4</f>
        <v>0</v>
      </c>
      <c r="M80" s="23">
        <f>J80*12</f>
        <v>96.35999999999999</v>
      </c>
      <c r="N80" s="94">
        <f>M80*$D$2*3</f>
        <v>54.9252</v>
      </c>
      <c r="O80" s="63">
        <f>$M80*$D$2</f>
        <v>18.3084</v>
      </c>
      <c r="P80" s="23">
        <f>Q80*H80</f>
        <v>11</v>
      </c>
      <c r="Q80" s="24">
        <f>G80/24</f>
        <v>1</v>
      </c>
      <c r="R80" s="58"/>
      <c r="S80" s="58"/>
      <c r="T80" s="58"/>
    </row>
    <row r="81" spans="1:20" ht="13.5">
      <c r="A81" s="58"/>
      <c r="B81" s="87"/>
      <c r="C81" s="58" t="s">
        <v>2</v>
      </c>
      <c r="D81" s="58" t="s">
        <v>3</v>
      </c>
      <c r="E81" s="58"/>
      <c r="F81" s="14"/>
      <c r="G81" s="58">
        <v>24</v>
      </c>
      <c r="H81" s="58">
        <v>2</v>
      </c>
      <c r="I81" s="42">
        <f>G81*H81</f>
        <v>48</v>
      </c>
      <c r="J81" s="6">
        <f>I81*(365/12)/1000</f>
        <v>1.46</v>
      </c>
      <c r="K81" s="84">
        <f>J81/$D$4</f>
        <v>0.0017176470588235295</v>
      </c>
      <c r="L81" s="33">
        <f>E81*J81/$D$4</f>
        <v>0</v>
      </c>
      <c r="M81" s="23">
        <f>J81*12</f>
        <v>17.52</v>
      </c>
      <c r="N81" s="94">
        <f>M81*$D$2*3</f>
        <v>9.9864</v>
      </c>
      <c r="O81" s="63">
        <f>$M81*$D$2</f>
        <v>3.3287999999999998</v>
      </c>
      <c r="P81" s="23">
        <f>Q81*H81</f>
        <v>2</v>
      </c>
      <c r="Q81" s="24">
        <f>G81/24</f>
        <v>1</v>
      </c>
      <c r="R81" s="58"/>
      <c r="S81" s="58"/>
      <c r="T81" s="58"/>
    </row>
    <row r="82" spans="1:20" ht="13.5">
      <c r="A82" s="58"/>
      <c r="B82" s="87"/>
      <c r="C82" s="58" t="s">
        <v>41</v>
      </c>
      <c r="D82" s="58" t="s">
        <v>42</v>
      </c>
      <c r="E82" s="58"/>
      <c r="F82" s="14"/>
      <c r="G82" s="58">
        <v>24</v>
      </c>
      <c r="H82" s="58">
        <v>140</v>
      </c>
      <c r="I82" s="42">
        <f>G82*H82</f>
        <v>3360</v>
      </c>
      <c r="J82" s="6">
        <f>I82*(365/12)/1000</f>
        <v>102.2</v>
      </c>
      <c r="K82" s="84">
        <f>J82/$D$4</f>
        <v>0.12023529411764707</v>
      </c>
      <c r="L82" s="33">
        <f>E82*J82/$D$4</f>
        <v>0</v>
      </c>
      <c r="M82" s="23">
        <f>J82*12</f>
        <v>1226.4</v>
      </c>
      <c r="N82" s="94">
        <f>M82*$D$2*3</f>
        <v>699.048</v>
      </c>
      <c r="O82" s="63">
        <f>$M82*$D$2</f>
        <v>233.01600000000002</v>
      </c>
      <c r="P82" s="23">
        <f>Q82*H82</f>
        <v>140</v>
      </c>
      <c r="Q82" s="24">
        <f>G82/24</f>
        <v>1</v>
      </c>
      <c r="R82" s="58"/>
      <c r="S82" s="58" t="s">
        <v>43</v>
      </c>
      <c r="T82" s="58"/>
    </row>
    <row r="83" spans="1:20" ht="13.5">
      <c r="A83" s="58"/>
      <c r="B83" s="87"/>
      <c r="C83" s="58" t="s">
        <v>74</v>
      </c>
      <c r="D83" s="58" t="s">
        <v>75</v>
      </c>
      <c r="E83" s="58"/>
      <c r="F83" s="14"/>
      <c r="G83" s="58">
        <v>0</v>
      </c>
      <c r="H83" s="58">
        <f>136-124</f>
        <v>12</v>
      </c>
      <c r="I83" s="42">
        <f>G83*H83</f>
        <v>0</v>
      </c>
      <c r="J83" s="6">
        <f>I83*(365/12)/1000</f>
        <v>0</v>
      </c>
      <c r="K83" s="84">
        <f>J83/$D$4</f>
        <v>0</v>
      </c>
      <c r="L83" s="33">
        <f>E83*J83/$D$4</f>
        <v>0</v>
      </c>
      <c r="M83" s="23">
        <f>J83*12</f>
        <v>0</v>
      </c>
      <c r="N83" s="94">
        <f>M83*$D$2*3</f>
        <v>0</v>
      </c>
      <c r="O83" s="63">
        <f>$M83*$D$2</f>
        <v>0</v>
      </c>
      <c r="P83" s="23">
        <f>Q83*H83</f>
        <v>0</v>
      </c>
      <c r="Q83" s="24">
        <f>G83/24</f>
        <v>0</v>
      </c>
      <c r="R83" s="58"/>
      <c r="S83" s="58"/>
      <c r="T83" s="58"/>
    </row>
    <row r="84" spans="1:20" ht="13.5">
      <c r="A84" s="58"/>
      <c r="B84" s="87"/>
      <c r="C84" s="58" t="s">
        <v>98</v>
      </c>
      <c r="D84" s="58" t="s">
        <v>99</v>
      </c>
      <c r="E84" s="58"/>
      <c r="F84" s="14"/>
      <c r="G84" s="58">
        <v>24</v>
      </c>
      <c r="H84" s="58">
        <v>10</v>
      </c>
      <c r="I84" s="42">
        <f>G84*H84</f>
        <v>240</v>
      </c>
      <c r="J84" s="6">
        <f>I84*(365/12)/1000</f>
        <v>7.3</v>
      </c>
      <c r="K84" s="84">
        <f>J84/$D$4</f>
        <v>0.008588235294117647</v>
      </c>
      <c r="L84" s="33">
        <f>E84*J84/$D$4</f>
        <v>0</v>
      </c>
      <c r="M84" s="23">
        <f>J84*12</f>
        <v>87.6</v>
      </c>
      <c r="N84" s="94">
        <f>M84*$D$2*3</f>
        <v>49.931999999999995</v>
      </c>
      <c r="O84" s="63">
        <f>$M84*$D$2</f>
        <v>16.644</v>
      </c>
      <c r="P84" s="23">
        <f>Q84*H84</f>
        <v>10</v>
      </c>
      <c r="Q84" s="24">
        <f>G84/24</f>
        <v>1</v>
      </c>
      <c r="R84" s="58"/>
      <c r="S84" s="58"/>
      <c r="T84" s="58"/>
    </row>
    <row r="85" spans="1:20" ht="13.5">
      <c r="A85" s="58"/>
      <c r="B85" s="87" t="s">
        <v>71</v>
      </c>
      <c r="C85" s="58" t="s">
        <v>120</v>
      </c>
      <c r="D85" s="58" t="s">
        <v>121</v>
      </c>
      <c r="E85" s="58"/>
      <c r="F85" s="14"/>
      <c r="G85" s="58">
        <v>24</v>
      </c>
      <c r="H85" s="58">
        <v>2</v>
      </c>
      <c r="I85" s="42">
        <f>G85*H85</f>
        <v>48</v>
      </c>
      <c r="J85" s="6">
        <f>I85*(365/12)/1000</f>
        <v>1.46</v>
      </c>
      <c r="K85" s="84">
        <f>J85/$D$4</f>
        <v>0.0017176470588235295</v>
      </c>
      <c r="L85" s="33">
        <f>E85*J85/$D$4</f>
        <v>0</v>
      </c>
      <c r="M85" s="23">
        <f>J85*12</f>
        <v>17.52</v>
      </c>
      <c r="N85" s="94">
        <f>M85*$D$2*3</f>
        <v>9.9864</v>
      </c>
      <c r="O85" s="63">
        <f>$M85*$D$2</f>
        <v>3.3287999999999998</v>
      </c>
      <c r="P85" s="23">
        <f>Q85*H85</f>
        <v>2</v>
      </c>
      <c r="Q85" s="24">
        <f>G85/24</f>
        <v>1</v>
      </c>
      <c r="R85" s="58"/>
      <c r="S85" s="58"/>
      <c r="T85" s="58"/>
    </row>
    <row r="86" spans="1:20" ht="13.5">
      <c r="A86" s="58"/>
      <c r="B86" s="87"/>
      <c r="C86" s="58" t="s">
        <v>151</v>
      </c>
      <c r="D86" s="58" t="s">
        <v>16</v>
      </c>
      <c r="E86" s="58"/>
      <c r="F86" s="14"/>
      <c r="G86" s="58">
        <v>4</v>
      </c>
      <c r="H86" s="58">
        <v>27</v>
      </c>
      <c r="I86" s="42">
        <f>G86*H86</f>
        <v>108</v>
      </c>
      <c r="J86" s="6">
        <f>I86*(365/12)/1000</f>
        <v>3.285</v>
      </c>
      <c r="K86" s="84">
        <f>J86/$D$4</f>
        <v>0.0038647058823529415</v>
      </c>
      <c r="L86" s="33">
        <f>E86*J86/$D$4</f>
        <v>0</v>
      </c>
      <c r="M86" s="23">
        <f>J86*12</f>
        <v>39.42</v>
      </c>
      <c r="N86" s="94">
        <f>M86*$D$2*3</f>
        <v>22.4694</v>
      </c>
      <c r="O86" s="63">
        <f>$M86*$D$2</f>
        <v>7.489800000000001</v>
      </c>
      <c r="P86" s="23">
        <f>Q86*H86</f>
        <v>4.5</v>
      </c>
      <c r="Q86" s="24">
        <f>G86/24</f>
        <v>0.16666666666666666</v>
      </c>
      <c r="R86" s="58"/>
      <c r="S86" s="58"/>
      <c r="T86" s="58"/>
    </row>
    <row r="87" spans="1:20" ht="13.5">
      <c r="A87" s="58"/>
      <c r="B87" s="87"/>
      <c r="C87" s="58" t="s">
        <v>151</v>
      </c>
      <c r="D87" s="58" t="s">
        <v>29</v>
      </c>
      <c r="E87" s="58"/>
      <c r="F87" s="14"/>
      <c r="G87" s="58">
        <v>20</v>
      </c>
      <c r="H87" s="58">
        <v>1</v>
      </c>
      <c r="I87" s="42">
        <f>G87*H87</f>
        <v>20</v>
      </c>
      <c r="J87" s="6">
        <f>I87*(365/12)/1000</f>
        <v>0.6083333333333334</v>
      </c>
      <c r="K87" s="84">
        <f>J87/$D$4</f>
        <v>0.000715686274509804</v>
      </c>
      <c r="L87" s="33">
        <f>E87*J87/$D$4</f>
        <v>0</v>
      </c>
      <c r="M87" s="23">
        <f>J87*12</f>
        <v>7.300000000000001</v>
      </c>
      <c r="N87" s="94">
        <f>M87*$D$2*3</f>
        <v>4.1610000000000005</v>
      </c>
      <c r="O87" s="63">
        <f>$M87*$D$2</f>
        <v>1.3870000000000002</v>
      </c>
      <c r="P87" s="23">
        <f>Q87*H87</f>
        <v>0.8333333333333334</v>
      </c>
      <c r="Q87" s="24">
        <f>G87/24</f>
        <v>0.8333333333333334</v>
      </c>
      <c r="R87" s="58"/>
      <c r="S87" s="58"/>
      <c r="T87" s="58"/>
    </row>
    <row r="88" spans="1:20" ht="13.5">
      <c r="A88" s="58"/>
      <c r="B88" s="87"/>
      <c r="C88" s="58" t="s">
        <v>28</v>
      </c>
      <c r="D88" s="58" t="s">
        <v>16</v>
      </c>
      <c r="E88" s="58"/>
      <c r="F88" s="14"/>
      <c r="G88" s="58">
        <v>4</v>
      </c>
      <c r="H88" s="58">
        <v>54</v>
      </c>
      <c r="I88" s="42">
        <f>G88*H88</f>
        <v>216</v>
      </c>
      <c r="J88" s="6">
        <f>I88*(365/12)/1000</f>
        <v>6.57</v>
      </c>
      <c r="K88" s="84">
        <f>J88/$D$4</f>
        <v>0.007729411764705883</v>
      </c>
      <c r="L88" s="33">
        <f>E88*J88/$D$4</f>
        <v>0</v>
      </c>
      <c r="M88" s="23">
        <f>J88*12</f>
        <v>78.84</v>
      </c>
      <c r="N88" s="94">
        <f>M88*$D$2*3</f>
        <v>44.9388</v>
      </c>
      <c r="O88" s="63">
        <f>$M88*$D$2</f>
        <v>14.979600000000001</v>
      </c>
      <c r="P88" s="23">
        <f>Q88*H88</f>
        <v>9</v>
      </c>
      <c r="Q88" s="24">
        <f>G88/24</f>
        <v>0.16666666666666666</v>
      </c>
      <c r="R88" s="58"/>
      <c r="S88" s="58"/>
      <c r="T88" s="58"/>
    </row>
    <row r="89" spans="1:20" ht="13.5">
      <c r="A89" s="58"/>
      <c r="B89" s="87"/>
      <c r="C89" s="58" t="s">
        <v>28</v>
      </c>
      <c r="D89" s="58" t="s">
        <v>29</v>
      </c>
      <c r="E89" s="58"/>
      <c r="F89" s="14"/>
      <c r="G89" s="58">
        <v>20</v>
      </c>
      <c r="H89" s="58">
        <v>2</v>
      </c>
      <c r="I89" s="42">
        <f>G89*H89</f>
        <v>40</v>
      </c>
      <c r="J89" s="6">
        <f>I89*(365/12)/1000</f>
        <v>1.2166666666666668</v>
      </c>
      <c r="K89" s="84">
        <f>J89/$D$4</f>
        <v>0.001431372549019608</v>
      </c>
      <c r="L89" s="33">
        <f>E89*J89/$D$4</f>
        <v>0</v>
      </c>
      <c r="M89" s="23">
        <f>J89*12</f>
        <v>14.600000000000001</v>
      </c>
      <c r="N89" s="94">
        <f>M89*$D$2*3</f>
        <v>8.322000000000001</v>
      </c>
      <c r="O89" s="63">
        <f>$M89*$D$2</f>
        <v>2.7740000000000005</v>
      </c>
      <c r="P89" s="23">
        <f>Q89*H89</f>
        <v>1.6666666666666667</v>
      </c>
      <c r="Q89" s="24">
        <f>G89/24</f>
        <v>0.8333333333333334</v>
      </c>
      <c r="R89" s="58"/>
      <c r="S89" s="58"/>
      <c r="T89" s="58"/>
    </row>
    <row r="90" spans="1:20" ht="13.5">
      <c r="A90" s="58"/>
      <c r="B90" s="87"/>
      <c r="C90" s="58" t="s">
        <v>65</v>
      </c>
      <c r="D90" s="58" t="s">
        <v>42</v>
      </c>
      <c r="E90" s="58"/>
      <c r="F90" s="14"/>
      <c r="G90" s="58">
        <v>24</v>
      </c>
      <c r="H90" s="58">
        <v>1.5</v>
      </c>
      <c r="I90" s="42">
        <f>G90*H90</f>
        <v>36</v>
      </c>
      <c r="J90" s="6">
        <f>I90*(365/12)/1000</f>
        <v>1.095</v>
      </c>
      <c r="K90" s="84">
        <f>J90/$D$4</f>
        <v>0.0012882352941176471</v>
      </c>
      <c r="L90" s="33">
        <f>E90*J90/$D$4</f>
        <v>0</v>
      </c>
      <c r="M90" s="23">
        <f>J90*12</f>
        <v>13.14</v>
      </c>
      <c r="N90" s="94">
        <f>M90*$D$2*3</f>
        <v>7.4898</v>
      </c>
      <c r="O90" s="63">
        <f>$M90*$D$2</f>
        <v>2.4966</v>
      </c>
      <c r="P90" s="23">
        <f>Q90*H90</f>
        <v>1.5</v>
      </c>
      <c r="Q90" s="24">
        <f>G90/24</f>
        <v>1</v>
      </c>
      <c r="R90" s="58"/>
      <c r="S90" s="58"/>
      <c r="T90" s="58"/>
    </row>
    <row r="91" spans="1:20" ht="13.5">
      <c r="A91" s="58"/>
      <c r="B91" s="87"/>
      <c r="C91" s="58" t="s">
        <v>91</v>
      </c>
      <c r="D91" s="58" t="s">
        <v>42</v>
      </c>
      <c r="E91" s="58"/>
      <c r="F91" s="14"/>
      <c r="G91" s="58">
        <v>24</v>
      </c>
      <c r="H91" s="58">
        <v>2</v>
      </c>
      <c r="I91" s="42">
        <f>G91*H91</f>
        <v>48</v>
      </c>
      <c r="J91" s="6">
        <f>I91*(365/12)/1000</f>
        <v>1.46</v>
      </c>
      <c r="K91" s="84">
        <f>J91/$D$4</f>
        <v>0.0017176470588235295</v>
      </c>
      <c r="L91" s="33">
        <f>E91*J91/$D$4</f>
        <v>0</v>
      </c>
      <c r="M91" s="23">
        <f>J91*12</f>
        <v>17.52</v>
      </c>
      <c r="N91" s="94">
        <f>M91*$D$2*3</f>
        <v>9.9864</v>
      </c>
      <c r="O91" s="63">
        <f>$M91*$D$2</f>
        <v>3.3287999999999998</v>
      </c>
      <c r="P91" s="23">
        <f>Q91*H91</f>
        <v>2</v>
      </c>
      <c r="Q91" s="24">
        <f>G91/24</f>
        <v>1</v>
      </c>
      <c r="R91" s="58"/>
      <c r="S91" s="58"/>
      <c r="T91" s="58"/>
    </row>
    <row r="92" spans="1:20" ht="13.5">
      <c r="A92" s="58"/>
      <c r="B92" s="87"/>
      <c r="C92" s="58" t="s">
        <v>115</v>
      </c>
      <c r="D92" s="58" t="s">
        <v>116</v>
      </c>
      <c r="E92" s="58"/>
      <c r="F92" s="14"/>
      <c r="G92" s="58">
        <v>1</v>
      </c>
      <c r="H92" s="58">
        <v>145</v>
      </c>
      <c r="I92" s="42">
        <f>G92*H92</f>
        <v>145</v>
      </c>
      <c r="J92" s="6">
        <f>I92*(365/12)/1000</f>
        <v>4.410416666666667</v>
      </c>
      <c r="K92" s="84">
        <f>J92/$D$4</f>
        <v>0.005188725490196079</v>
      </c>
      <c r="L92" s="33">
        <f>E92*J92/$D$4</f>
        <v>0</v>
      </c>
      <c r="M92" s="23">
        <f>J92*12</f>
        <v>52.92500000000001</v>
      </c>
      <c r="N92" s="94">
        <f>M92*$D$2*3</f>
        <v>30.167250000000003</v>
      </c>
      <c r="O92" s="63">
        <f>$M92*$D$2</f>
        <v>10.055750000000002</v>
      </c>
      <c r="P92" s="23">
        <f>Q92*H92</f>
        <v>6.041666666666666</v>
      </c>
      <c r="Q92" s="24">
        <f>G92/24</f>
        <v>0.041666666666666664</v>
      </c>
      <c r="R92" s="58"/>
      <c r="S92" s="58" t="s">
        <v>117</v>
      </c>
      <c r="T92" s="58"/>
    </row>
    <row r="93" spans="1:20" ht="13.5">
      <c r="A93" s="58"/>
      <c r="B93" s="87"/>
      <c r="C93" s="58" t="s">
        <v>115</v>
      </c>
      <c r="D93" s="58" t="s">
        <v>138</v>
      </c>
      <c r="E93" s="58"/>
      <c r="F93" s="14"/>
      <c r="G93" s="58">
        <v>1</v>
      </c>
      <c r="H93" s="58">
        <v>185</v>
      </c>
      <c r="I93" s="42">
        <f>G93*H93</f>
        <v>185</v>
      </c>
      <c r="J93" s="6">
        <f>I93*(365/12)/1000</f>
        <v>5.627083333333334</v>
      </c>
      <c r="K93" s="84">
        <f>J93/$D$4</f>
        <v>0.006620098039215688</v>
      </c>
      <c r="L93" s="33">
        <f>E93*J93/$D$4</f>
        <v>0</v>
      </c>
      <c r="M93" s="23">
        <f>J93*12</f>
        <v>67.525</v>
      </c>
      <c r="N93" s="94">
        <f>M93*$D$2*3</f>
        <v>38.48925</v>
      </c>
      <c r="O93" s="63">
        <f>$M93*$D$2</f>
        <v>12.82975</v>
      </c>
      <c r="P93" s="23">
        <f>Q93*H93</f>
        <v>7.708333333333333</v>
      </c>
      <c r="Q93" s="24">
        <f>G93/24</f>
        <v>0.041666666666666664</v>
      </c>
      <c r="R93" s="58"/>
      <c r="S93" s="58"/>
      <c r="T93" s="58"/>
    </row>
    <row r="94" spans="1:20" ht="13.5">
      <c r="A94" s="58"/>
      <c r="B94" s="87"/>
      <c r="C94" s="58" t="s">
        <v>115</v>
      </c>
      <c r="D94" s="58" t="s">
        <v>29</v>
      </c>
      <c r="E94" s="58"/>
      <c r="F94" s="14"/>
      <c r="G94" s="58">
        <v>22</v>
      </c>
      <c r="H94" s="58">
        <v>2</v>
      </c>
      <c r="I94" s="42">
        <f>G94*H94</f>
        <v>44</v>
      </c>
      <c r="J94" s="6">
        <f>I94*(365/12)/1000</f>
        <v>1.3383333333333334</v>
      </c>
      <c r="K94" s="84">
        <f>J94/$D$4</f>
        <v>0.0015745098039215686</v>
      </c>
      <c r="L94" s="33">
        <f>E94*J94/$D$4</f>
        <v>0</v>
      </c>
      <c r="M94" s="23">
        <f>J94*12</f>
        <v>16.060000000000002</v>
      </c>
      <c r="N94" s="94">
        <f>M94*$D$2*3</f>
        <v>9.154200000000001</v>
      </c>
      <c r="O94" s="63">
        <f>$M94*$D$2</f>
        <v>3.0514000000000006</v>
      </c>
      <c r="P94" s="23">
        <f>Q94*H94</f>
        <v>1.8333333333333333</v>
      </c>
      <c r="Q94" s="24">
        <f>G94/24</f>
        <v>0.9166666666666666</v>
      </c>
      <c r="R94" s="58"/>
      <c r="S94" s="58"/>
      <c r="T94" s="58"/>
    </row>
    <row r="95" spans="1:20" ht="13.5">
      <c r="A95" s="58"/>
      <c r="B95" s="11"/>
      <c r="C95" s="58"/>
      <c r="D95" s="11"/>
      <c r="E95" s="58"/>
      <c r="F95" s="14"/>
      <c r="G95" s="58"/>
      <c r="H95" s="58"/>
      <c r="I95" s="42"/>
      <c r="J95" s="6"/>
      <c r="K95" s="84"/>
      <c r="L95" s="33"/>
      <c r="M95" s="23"/>
      <c r="N95" s="94"/>
      <c r="O95" s="94"/>
      <c r="P95" s="23"/>
      <c r="Q95" s="24"/>
      <c r="R95" s="58"/>
      <c r="S95" s="58"/>
      <c r="T95" s="58"/>
    </row>
    <row r="96" spans="1:256" ht="13.5">
      <c r="A96" s="82"/>
      <c r="B96" s="82"/>
      <c r="C96" s="82" t="s">
        <v>17</v>
      </c>
      <c r="D96" s="82"/>
      <c r="E96" s="82"/>
      <c r="F96" s="39" t="s">
        <v>9</v>
      </c>
      <c r="G96" s="82">
        <v>24</v>
      </c>
      <c r="H96" s="82">
        <v>2</v>
      </c>
      <c r="I96" s="90">
        <f>G96*H96</f>
        <v>48</v>
      </c>
      <c r="J96" s="66">
        <f>I96*(365/12)/1000</f>
        <v>1.46</v>
      </c>
      <c r="K96" s="7">
        <f>J96/$D$4</f>
        <v>0.0017176470588235295</v>
      </c>
      <c r="L96" s="91">
        <f>E96*J96/$D$4</f>
        <v>0</v>
      </c>
      <c r="M96" s="66">
        <f>J96*12</f>
        <v>17.52</v>
      </c>
      <c r="N96" s="48">
        <f>M96*$D$2*3</f>
        <v>9.9864</v>
      </c>
      <c r="O96" s="89">
        <f>$M96*$D$2</f>
        <v>3.3287999999999998</v>
      </c>
      <c r="P96" s="66">
        <f>Q96*H96</f>
        <v>2</v>
      </c>
      <c r="Q96" s="13">
        <f>G96/24</f>
        <v>1</v>
      </c>
      <c r="R96" s="82"/>
      <c r="S96" s="82" t="s">
        <v>18</v>
      </c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  <c r="IU96" s="82"/>
      <c r="IV96" s="82"/>
    </row>
    <row r="97" spans="1:256" ht="13.5">
      <c r="A97" s="82"/>
      <c r="B97" s="82"/>
      <c r="C97" s="82" t="s">
        <v>57</v>
      </c>
      <c r="D97" s="82"/>
      <c r="E97" s="82"/>
      <c r="F97" s="39" t="s">
        <v>9</v>
      </c>
      <c r="G97" s="82">
        <v>24</v>
      </c>
      <c r="H97" s="82">
        <v>6</v>
      </c>
      <c r="I97" s="90">
        <f>G97*H97</f>
        <v>144</v>
      </c>
      <c r="J97" s="66">
        <f>I97*(365/12)/1000</f>
        <v>4.38</v>
      </c>
      <c r="K97" s="7">
        <f>J97/$D$4</f>
        <v>0.0051529411764705884</v>
      </c>
      <c r="L97" s="91">
        <f>E97*J97/$D$4</f>
        <v>0</v>
      </c>
      <c r="M97" s="66">
        <f>J97*12</f>
        <v>52.56</v>
      </c>
      <c r="N97" s="48">
        <f>M97*$D$2*3</f>
        <v>29.9592</v>
      </c>
      <c r="O97" s="89">
        <f>$M97*$D$2</f>
        <v>9.9864</v>
      </c>
      <c r="P97" s="66">
        <f>Q97*H97</f>
        <v>6</v>
      </c>
      <c r="Q97" s="13">
        <f>G97/24</f>
        <v>1</v>
      </c>
      <c r="R97" s="82"/>
      <c r="S97" s="82" t="s">
        <v>18</v>
      </c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  <c r="IV97" s="82"/>
    </row>
    <row r="98" spans="1:256" ht="13.5">
      <c r="A98" s="82"/>
      <c r="B98" s="82"/>
      <c r="C98" s="82" t="s">
        <v>84</v>
      </c>
      <c r="D98" s="82"/>
      <c r="E98" s="82"/>
      <c r="F98" s="39" t="s">
        <v>9</v>
      </c>
      <c r="G98" s="82">
        <v>1</v>
      </c>
      <c r="H98" s="82">
        <v>145</v>
      </c>
      <c r="I98" s="90">
        <f>G98*H98</f>
        <v>145</v>
      </c>
      <c r="J98" s="66">
        <f>I98*(365/12)/1000</f>
        <v>4.410416666666667</v>
      </c>
      <c r="K98" s="7">
        <f>J98/$D$4</f>
        <v>0.005188725490196079</v>
      </c>
      <c r="L98" s="91">
        <f>E98*J98/$D$4</f>
        <v>0</v>
      </c>
      <c r="M98" s="66">
        <f>J98*12</f>
        <v>52.92500000000001</v>
      </c>
      <c r="N98" s="48">
        <f>M98*$D$2*3</f>
        <v>30.167250000000003</v>
      </c>
      <c r="O98" s="89">
        <f>$M98*$D$2</f>
        <v>10.055750000000002</v>
      </c>
      <c r="P98" s="66">
        <f>Q98*H98</f>
        <v>6.041666666666666</v>
      </c>
      <c r="Q98" s="13">
        <f>G98/24</f>
        <v>0.041666666666666664</v>
      </c>
      <c r="R98" s="82"/>
      <c r="S98" s="82" t="s">
        <v>18</v>
      </c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  <c r="IU98" s="82"/>
      <c r="IV98" s="82"/>
    </row>
    <row r="99" spans="1:256" ht="13.5">
      <c r="A99" s="65"/>
      <c r="B99" s="65"/>
      <c r="C99" s="65" t="s">
        <v>107</v>
      </c>
      <c r="D99" s="65" t="s">
        <v>108</v>
      </c>
      <c r="E99" s="65"/>
      <c r="F99" s="20" t="s">
        <v>24</v>
      </c>
      <c r="G99" s="65">
        <v>24</v>
      </c>
      <c r="H99" s="65">
        <f>50</f>
        <v>50</v>
      </c>
      <c r="I99" s="12">
        <f>G99*H99</f>
        <v>1200</v>
      </c>
      <c r="J99" s="22">
        <f>I99*(365/12)/1000</f>
        <v>36.5</v>
      </c>
      <c r="K99" s="28">
        <f>J99/$D$4</f>
        <v>0.04294117647058823</v>
      </c>
      <c r="L99" s="19">
        <f>E99*J99/$D$4</f>
        <v>0</v>
      </c>
      <c r="M99" s="22">
        <f>J99*12</f>
        <v>438</v>
      </c>
      <c r="N99" s="71">
        <f>M99*$D$2*3</f>
        <v>249.66</v>
      </c>
      <c r="O99" s="41">
        <f>$M99*$D$2</f>
        <v>83.22</v>
      </c>
      <c r="P99" s="22">
        <f>Q99*H99</f>
        <v>50</v>
      </c>
      <c r="Q99" s="45">
        <f>G99/24</f>
        <v>1</v>
      </c>
      <c r="R99" s="65"/>
      <c r="S99" s="65" t="s">
        <v>27</v>
      </c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  <c r="IS99" s="65"/>
      <c r="IT99" s="65"/>
      <c r="IU99" s="65"/>
      <c r="IV99" s="65"/>
    </row>
    <row r="100" spans="1:20" ht="13.5">
      <c r="A100" s="58"/>
      <c r="B100" s="11"/>
      <c r="C100" s="58"/>
      <c r="D100" s="11"/>
      <c r="E100" s="58"/>
      <c r="F100" s="14"/>
      <c r="G100" s="58"/>
      <c r="H100" s="58"/>
      <c r="I100" s="42"/>
      <c r="J100" s="6"/>
      <c r="K100" s="84"/>
      <c r="L100" s="33"/>
      <c r="M100" s="23"/>
      <c r="N100" s="94"/>
      <c r="O100" s="94"/>
      <c r="P100" s="23"/>
      <c r="Q100" s="24"/>
      <c r="R100" s="58"/>
      <c r="S100" s="58"/>
      <c r="T100" s="58"/>
    </row>
    <row r="101" spans="1:20" ht="13.5">
      <c r="A101" s="58"/>
      <c r="B101" s="11"/>
      <c r="C101" s="58"/>
      <c r="D101" s="11"/>
      <c r="E101" s="58"/>
      <c r="F101" s="14"/>
      <c r="G101" s="58"/>
      <c r="H101" s="58"/>
      <c r="I101" s="42"/>
      <c r="J101" s="6"/>
      <c r="K101" s="84"/>
      <c r="L101" s="33"/>
      <c r="M101" s="23"/>
      <c r="N101" s="94"/>
      <c r="O101" s="94"/>
      <c r="P101" s="23"/>
      <c r="Q101" s="24"/>
      <c r="R101" s="58"/>
      <c r="S101" s="58"/>
      <c r="T101" s="58"/>
    </row>
    <row r="102" spans="1:20" ht="13.5">
      <c r="A102" s="58"/>
      <c r="B102" s="11" t="s">
        <v>178</v>
      </c>
      <c r="C102" s="58"/>
      <c r="D102" s="11"/>
      <c r="E102" s="58"/>
      <c r="F102" s="14"/>
      <c r="G102" s="58"/>
      <c r="H102" s="58"/>
      <c r="I102" s="42">
        <f>G102*H102</f>
        <v>0</v>
      </c>
      <c r="J102" s="6">
        <f>I102*(365/12)/1000</f>
        <v>0</v>
      </c>
      <c r="K102" s="84">
        <f>J102/$D$4</f>
        <v>0</v>
      </c>
      <c r="L102" s="33">
        <f>E102*J102/$D$4</f>
        <v>0</v>
      </c>
      <c r="M102" s="23">
        <f>J102*12</f>
        <v>0</v>
      </c>
      <c r="N102" s="94">
        <f>M102*$D$2*3</f>
        <v>0</v>
      </c>
      <c r="O102" s="63">
        <f>$M102*$D$2</f>
        <v>0</v>
      </c>
      <c r="P102" s="23">
        <f>Q102*H102</f>
        <v>0</v>
      </c>
      <c r="Q102" s="24">
        <f>G102/24</f>
        <v>0</v>
      </c>
      <c r="R102" s="58"/>
      <c r="S102" s="58"/>
      <c r="T102" s="58"/>
    </row>
    <row r="103" spans="1:20" ht="13.5">
      <c r="A103" s="58"/>
      <c r="B103" s="87"/>
      <c r="C103" s="58" t="s">
        <v>10</v>
      </c>
      <c r="D103" s="58" t="s">
        <v>11</v>
      </c>
      <c r="E103" s="58"/>
      <c r="F103" s="14"/>
      <c r="G103" s="58">
        <v>5</v>
      </c>
      <c r="H103" s="58">
        <v>22</v>
      </c>
      <c r="I103" s="42">
        <f>G103*H103</f>
        <v>110</v>
      </c>
      <c r="J103" s="6">
        <f>I103*(365/12)/1000</f>
        <v>3.3458333333333337</v>
      </c>
      <c r="K103" s="84">
        <f>J103/$D$4</f>
        <v>0.003936274509803922</v>
      </c>
      <c r="L103" s="33">
        <f>E103*J103/$D$4</f>
        <v>0</v>
      </c>
      <c r="M103" s="23">
        <f>J103*12</f>
        <v>40.150000000000006</v>
      </c>
      <c r="N103" s="94">
        <f>M103*$D$2*3</f>
        <v>22.885500000000004</v>
      </c>
      <c r="O103" s="63">
        <f>$M103*$D$2</f>
        <v>7.628500000000002</v>
      </c>
      <c r="P103" s="23">
        <f>Q103*H103</f>
        <v>4.583333333333334</v>
      </c>
      <c r="Q103" s="24">
        <f>G103/24</f>
        <v>0.20833333333333334</v>
      </c>
      <c r="R103" s="58"/>
      <c r="S103" s="58"/>
      <c r="T103" s="58"/>
    </row>
    <row r="104" spans="1:20" ht="13.5">
      <c r="A104" s="58"/>
      <c r="B104" s="87"/>
      <c r="C104" s="58" t="s">
        <v>47</v>
      </c>
      <c r="D104" s="58" t="s">
        <v>48</v>
      </c>
      <c r="E104" s="58"/>
      <c r="F104" s="14"/>
      <c r="G104" s="58">
        <v>2</v>
      </c>
      <c r="H104" s="58">
        <v>12</v>
      </c>
      <c r="I104" s="42">
        <f>G104*H104</f>
        <v>24</v>
      </c>
      <c r="J104" s="6">
        <f>I104*(365/12)/1000</f>
        <v>0.73</v>
      </c>
      <c r="K104" s="84">
        <f>J104/$D$4</f>
        <v>0.0008588235294117647</v>
      </c>
      <c r="L104" s="33">
        <f>E104*J104/$D$4</f>
        <v>0</v>
      </c>
      <c r="M104" s="23">
        <f>J104*12</f>
        <v>8.76</v>
      </c>
      <c r="N104" s="94">
        <f>M104*$D$2*3</f>
        <v>4.9932</v>
      </c>
      <c r="O104" s="63">
        <f>$M104*$D$2</f>
        <v>1.6643999999999999</v>
      </c>
      <c r="P104" s="23">
        <f>Q104*H104</f>
        <v>1</v>
      </c>
      <c r="Q104" s="24">
        <f>G104/24</f>
        <v>0.08333333333333333</v>
      </c>
      <c r="R104" s="58"/>
      <c r="S104" s="58"/>
      <c r="T104" s="58"/>
    </row>
    <row r="105" spans="1:20" ht="13.5">
      <c r="A105" s="58"/>
      <c r="B105" s="58"/>
      <c r="C105" s="58"/>
      <c r="D105" s="58"/>
      <c r="E105" s="58"/>
      <c r="F105" s="14"/>
      <c r="G105" s="58"/>
      <c r="H105" s="58"/>
      <c r="I105" s="42">
        <f>G105*H105</f>
        <v>0</v>
      </c>
      <c r="J105" s="6">
        <f>I105*(365/12)/1000</f>
        <v>0</v>
      </c>
      <c r="K105" s="84">
        <f>J105/$D$4</f>
        <v>0</v>
      </c>
      <c r="L105" s="33">
        <f>E105*J105/$D$4</f>
        <v>0</v>
      </c>
      <c r="M105" s="23">
        <f>J105*12</f>
        <v>0</v>
      </c>
      <c r="N105" s="94">
        <f>M105*$D$2*3</f>
        <v>0</v>
      </c>
      <c r="O105" s="63">
        <f>$M105*$D$2</f>
        <v>0</v>
      </c>
      <c r="P105" s="23">
        <f>Q105*H105</f>
        <v>0</v>
      </c>
      <c r="Q105" s="24">
        <f>G105/24</f>
        <v>0</v>
      </c>
      <c r="R105" s="58"/>
      <c r="S105" s="58"/>
      <c r="T105" s="58"/>
    </row>
    <row r="106" spans="1:256" ht="13.5">
      <c r="A106" s="11"/>
      <c r="B106" s="11" t="s">
        <v>101</v>
      </c>
      <c r="C106" s="11"/>
      <c r="D106" s="11" t="s">
        <v>102</v>
      </c>
      <c r="E106" s="11">
        <v>1</v>
      </c>
      <c r="F106" s="2"/>
      <c r="G106" s="11">
        <v>24</v>
      </c>
      <c r="H106" s="11">
        <v>111.7</v>
      </c>
      <c r="I106" s="4">
        <f>G106*H106</f>
        <v>2680.8</v>
      </c>
      <c r="J106" s="83">
        <f>I106*(365/12)/1000</f>
        <v>81.54100000000001</v>
      </c>
      <c r="K106" s="33">
        <f>J106/$D$4</f>
        <v>0.09593058823529413</v>
      </c>
      <c r="L106" s="33">
        <f>E106*J106/$D$4</f>
        <v>0.09593058823529413</v>
      </c>
      <c r="M106" s="38">
        <f>J106*12</f>
        <v>978.4920000000002</v>
      </c>
      <c r="N106" s="63">
        <f>M106*$D$2*3</f>
        <v>557.7404400000001</v>
      </c>
      <c r="O106" s="63">
        <f>$M106*$D$2</f>
        <v>185.91348000000005</v>
      </c>
      <c r="P106" s="38">
        <f>Q106*H106</f>
        <v>111.7</v>
      </c>
      <c r="Q106" s="40">
        <f>G106/24</f>
        <v>1</v>
      </c>
      <c r="R106" s="11"/>
      <c r="S106" s="11"/>
      <c r="T106" s="11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</row>
    <row r="107" spans="1:20" ht="13.5">
      <c r="A107" s="58"/>
      <c r="B107" s="87"/>
      <c r="C107" s="58" t="s">
        <v>124</v>
      </c>
      <c r="D107" s="58" t="s">
        <v>125</v>
      </c>
      <c r="E107" s="58"/>
      <c r="F107" s="14"/>
      <c r="G107" s="58"/>
      <c r="H107" s="58">
        <v>94</v>
      </c>
      <c r="I107" s="42">
        <f>G107*H107</f>
        <v>0</v>
      </c>
      <c r="J107" s="6">
        <f>I107*(365/12)/1000</f>
        <v>0</v>
      </c>
      <c r="K107" s="84">
        <f>J107/$D$4</f>
        <v>0</v>
      </c>
      <c r="L107" s="33">
        <f>E107*J107/$D$4</f>
        <v>0</v>
      </c>
      <c r="M107" s="23">
        <f>J107*12</f>
        <v>0</v>
      </c>
      <c r="N107" s="94">
        <f>M107*$D$2*3</f>
        <v>0</v>
      </c>
      <c r="O107" s="63">
        <f>$M107*$D$2</f>
        <v>0</v>
      </c>
      <c r="P107" s="23">
        <f>Q107*H107</f>
        <v>0</v>
      </c>
      <c r="Q107" s="24">
        <f>G107/24</f>
        <v>0</v>
      </c>
      <c r="R107" s="58"/>
      <c r="S107" s="58"/>
      <c r="T107" s="58"/>
    </row>
    <row r="108" spans="1:20" ht="13.5">
      <c r="A108" s="58"/>
      <c r="B108" s="87"/>
      <c r="C108" s="58" t="s">
        <v>162</v>
      </c>
      <c r="D108" s="58" t="s">
        <v>163</v>
      </c>
      <c r="E108" s="58"/>
      <c r="F108" s="14"/>
      <c r="G108" s="58"/>
      <c r="H108" s="58">
        <v>160</v>
      </c>
      <c r="I108" s="42">
        <f>G108*H108</f>
        <v>0</v>
      </c>
      <c r="J108" s="6">
        <f>I108*(365/12)/1000</f>
        <v>0</v>
      </c>
      <c r="K108" s="84">
        <f>J108/$D$4</f>
        <v>0</v>
      </c>
      <c r="L108" s="33">
        <f>E108*J108/$D$4</f>
        <v>0</v>
      </c>
      <c r="M108" s="23">
        <f>J108*12</f>
        <v>0</v>
      </c>
      <c r="N108" s="94">
        <f>M108*$D$2*3</f>
        <v>0</v>
      </c>
      <c r="O108" s="63">
        <f>$M108*$D$2</f>
        <v>0</v>
      </c>
      <c r="P108" s="23">
        <f>Q108*H108</f>
        <v>0</v>
      </c>
      <c r="Q108" s="24">
        <f>G108/24</f>
        <v>0</v>
      </c>
      <c r="R108" s="58"/>
      <c r="S108" s="58"/>
      <c r="T108" s="58"/>
    </row>
    <row r="109" spans="1:20" ht="13.5">
      <c r="A109" s="58"/>
      <c r="B109" s="87" t="s">
        <v>71</v>
      </c>
      <c r="C109" s="58" t="s">
        <v>174</v>
      </c>
      <c r="D109" s="58" t="s">
        <v>33</v>
      </c>
      <c r="E109" s="58"/>
      <c r="F109" s="14"/>
      <c r="G109" s="58">
        <v>24</v>
      </c>
      <c r="H109" s="58">
        <f>112-16</f>
        <v>96</v>
      </c>
      <c r="I109" s="42">
        <f>G109*H109</f>
        <v>2304</v>
      </c>
      <c r="J109" s="6">
        <f>I109*(365/12)/1000</f>
        <v>70.08</v>
      </c>
      <c r="K109" s="84">
        <f>J109/$D$4</f>
        <v>0.08244705882352941</v>
      </c>
      <c r="L109" s="33">
        <f>E109*J109/$D$4</f>
        <v>0</v>
      </c>
      <c r="M109" s="23">
        <f>J109*12</f>
        <v>840.96</v>
      </c>
      <c r="N109" s="94">
        <f>M109*$D$2*3</f>
        <v>479.3472</v>
      </c>
      <c r="O109" s="63">
        <f>$M109*$D$2</f>
        <v>159.7824</v>
      </c>
      <c r="P109" s="23">
        <f>Q109*H109</f>
        <v>96</v>
      </c>
      <c r="Q109" s="24">
        <f>G109/24</f>
        <v>1</v>
      </c>
      <c r="R109" s="58"/>
      <c r="S109" s="58" t="s">
        <v>1</v>
      </c>
      <c r="T109" s="58"/>
    </row>
    <row r="110" spans="1:20" ht="13.5">
      <c r="A110" s="58"/>
      <c r="B110" s="87"/>
      <c r="C110" s="58" t="s">
        <v>185</v>
      </c>
      <c r="D110" s="58" t="s">
        <v>33</v>
      </c>
      <c r="E110" s="58"/>
      <c r="F110" s="14"/>
      <c r="G110" s="58">
        <v>24</v>
      </c>
      <c r="H110" s="58">
        <f>H109-15</f>
        <v>81</v>
      </c>
      <c r="I110" s="42">
        <f>G110*H110</f>
        <v>1944</v>
      </c>
      <c r="J110" s="6">
        <f>I110*(365/12)/1000</f>
        <v>59.13</v>
      </c>
      <c r="K110" s="84">
        <f>J110/$D$4</f>
        <v>0.06956470588235295</v>
      </c>
      <c r="L110" s="33">
        <f>E110*J110/$D$4</f>
        <v>0</v>
      </c>
      <c r="M110" s="23">
        <f>J110*12</f>
        <v>709.5600000000001</v>
      </c>
      <c r="N110" s="94">
        <f>M110*$D$2*3</f>
        <v>404.4492</v>
      </c>
      <c r="O110" s="63">
        <f>$M110*$D$2</f>
        <v>134.81640000000002</v>
      </c>
      <c r="P110" s="23">
        <f>Q110*H110</f>
        <v>81</v>
      </c>
      <c r="Q110" s="24">
        <f>G110/24</f>
        <v>1</v>
      </c>
      <c r="R110" s="58"/>
      <c r="S110" s="58" t="s">
        <v>1</v>
      </c>
      <c r="T110" s="58"/>
    </row>
    <row r="111" spans="1:20" ht="13.5">
      <c r="A111" s="58"/>
      <c r="B111" s="87"/>
      <c r="C111" s="58" t="s">
        <v>36</v>
      </c>
      <c r="D111" s="58" t="s">
        <v>33</v>
      </c>
      <c r="E111" s="58"/>
      <c r="F111" s="14"/>
      <c r="G111" s="58">
        <v>24</v>
      </c>
      <c r="H111" s="58">
        <v>5</v>
      </c>
      <c r="I111" s="42">
        <f>G111*H111</f>
        <v>120</v>
      </c>
      <c r="J111" s="6">
        <f>I111*(365/12)/1000</f>
        <v>3.65</v>
      </c>
      <c r="K111" s="84">
        <f>J111/$D$4</f>
        <v>0.004294117647058823</v>
      </c>
      <c r="L111" s="33">
        <f>E111*J111/$D$4</f>
        <v>0</v>
      </c>
      <c r="M111" s="23">
        <f>J111*12</f>
        <v>43.8</v>
      </c>
      <c r="N111" s="94">
        <f>M111*$D$2*3</f>
        <v>24.965999999999998</v>
      </c>
      <c r="O111" s="63">
        <f>$M111*$D$2</f>
        <v>8.322</v>
      </c>
      <c r="P111" s="23">
        <f>Q111*H111</f>
        <v>5</v>
      </c>
      <c r="Q111" s="24">
        <f>G111/24</f>
        <v>1</v>
      </c>
      <c r="R111" s="58"/>
      <c r="S111" s="58"/>
      <c r="T111" s="58"/>
    </row>
    <row r="112" spans="1:20" ht="13.5">
      <c r="A112" s="58"/>
      <c r="B112" s="87"/>
      <c r="C112" s="58" t="s">
        <v>72</v>
      </c>
      <c r="D112" s="58" t="s">
        <v>33</v>
      </c>
      <c r="E112" s="58"/>
      <c r="F112" s="14"/>
      <c r="G112" s="58">
        <v>24</v>
      </c>
      <c r="H112" s="58">
        <v>5</v>
      </c>
      <c r="I112" s="42">
        <f>G112*H112</f>
        <v>120</v>
      </c>
      <c r="J112" s="6">
        <f>I112*(365/12)/1000</f>
        <v>3.65</v>
      </c>
      <c r="K112" s="84">
        <f>J112/$D$4</f>
        <v>0.004294117647058823</v>
      </c>
      <c r="L112" s="33">
        <f>E112*J112/$D$4</f>
        <v>0</v>
      </c>
      <c r="M112" s="23">
        <f>J112*12</f>
        <v>43.8</v>
      </c>
      <c r="N112" s="94">
        <f>M112*$D$2*3</f>
        <v>24.965999999999998</v>
      </c>
      <c r="O112" s="63">
        <f>$M112*$D$2</f>
        <v>8.322</v>
      </c>
      <c r="P112" s="23">
        <f>Q112*H112</f>
        <v>5</v>
      </c>
      <c r="Q112" s="24">
        <f>G112/24</f>
        <v>1</v>
      </c>
      <c r="R112" s="58"/>
      <c r="S112" s="58"/>
      <c r="T112" s="58"/>
    </row>
    <row r="113" spans="1:20" ht="13.5">
      <c r="A113" s="58"/>
      <c r="B113" s="87"/>
      <c r="C113" s="58" t="s">
        <v>95</v>
      </c>
      <c r="D113" s="58" t="s">
        <v>96</v>
      </c>
      <c r="E113" s="58"/>
      <c r="F113" s="14"/>
      <c r="G113" s="58">
        <v>23</v>
      </c>
      <c r="H113" s="58">
        <v>2</v>
      </c>
      <c r="I113" s="42">
        <f>G113*H113</f>
        <v>46</v>
      </c>
      <c r="J113" s="6">
        <f>I113*(365/12)/1000</f>
        <v>1.3991666666666667</v>
      </c>
      <c r="K113" s="84">
        <f>J113/$D$4</f>
        <v>0.001646078431372549</v>
      </c>
      <c r="L113" s="33">
        <f>E113*J113/$D$4</f>
        <v>0</v>
      </c>
      <c r="M113" s="23">
        <f>J113*12</f>
        <v>16.79</v>
      </c>
      <c r="N113" s="94">
        <f>M113*$D$2*3</f>
        <v>9.5703</v>
      </c>
      <c r="O113" s="63">
        <f>$M113*$D$2</f>
        <v>3.1900999999999997</v>
      </c>
      <c r="P113" s="23">
        <f>Q113*H113</f>
        <v>1.9166666666666667</v>
      </c>
      <c r="Q113" s="24">
        <f>G113/24</f>
        <v>0.9583333333333334</v>
      </c>
      <c r="R113" s="58"/>
      <c r="S113" s="58"/>
      <c r="T113" s="58"/>
    </row>
    <row r="114" spans="1:20" ht="13.5">
      <c r="A114" s="58"/>
      <c r="B114" s="87"/>
      <c r="C114" s="58" t="s">
        <v>95</v>
      </c>
      <c r="D114" s="58" t="s">
        <v>14</v>
      </c>
      <c r="E114" s="58"/>
      <c r="F114" s="14"/>
      <c r="G114" s="58">
        <v>1</v>
      </c>
      <c r="H114" s="58">
        <f>17+2</f>
        <v>19</v>
      </c>
      <c r="I114" s="42">
        <f>G114*H114</f>
        <v>19</v>
      </c>
      <c r="J114" s="6">
        <f>I114*(365/12)/1000</f>
        <v>0.5779166666666667</v>
      </c>
      <c r="K114" s="84">
        <f>J114/$D$4</f>
        <v>0.0006799019607843138</v>
      </c>
      <c r="L114" s="33">
        <f>E114*J114/$D$4</f>
        <v>0</v>
      </c>
      <c r="M114" s="23">
        <f>J114*12</f>
        <v>6.9350000000000005</v>
      </c>
      <c r="N114" s="94">
        <f>M114*$D$2*3</f>
        <v>3.9529500000000004</v>
      </c>
      <c r="O114" s="63">
        <f>$M114*$D$2</f>
        <v>1.3176500000000002</v>
      </c>
      <c r="P114" s="23">
        <f>Q114*H114</f>
        <v>0.7916666666666666</v>
      </c>
      <c r="Q114" s="24">
        <f>G114/24</f>
        <v>0.041666666666666664</v>
      </c>
      <c r="R114" s="58"/>
      <c r="S114" s="58"/>
      <c r="T114" s="58"/>
    </row>
    <row r="115" spans="1:20" ht="13.5">
      <c r="A115" s="58"/>
      <c r="B115" s="87"/>
      <c r="C115" s="58"/>
      <c r="D115" s="58"/>
      <c r="E115" s="58"/>
      <c r="F115" s="14"/>
      <c r="G115" s="58"/>
      <c r="H115" s="58"/>
      <c r="I115" s="42"/>
      <c r="J115" s="6"/>
      <c r="K115" s="84"/>
      <c r="L115" s="33"/>
      <c r="M115" s="23"/>
      <c r="N115" s="94"/>
      <c r="O115" s="63">
        <f>$M115*$D$2</f>
        <v>0</v>
      </c>
      <c r="P115" s="23"/>
      <c r="Q115" s="24"/>
      <c r="R115" s="58"/>
      <c r="S115" s="58"/>
      <c r="T115" s="58"/>
    </row>
    <row r="116" spans="1:20" ht="13.5">
      <c r="A116" s="58"/>
      <c r="B116" s="58"/>
      <c r="C116" s="58"/>
      <c r="D116" s="58"/>
      <c r="E116" s="58"/>
      <c r="F116" s="14"/>
      <c r="G116" s="58"/>
      <c r="H116" s="58"/>
      <c r="I116" s="42">
        <f>G116*H116</f>
        <v>0</v>
      </c>
      <c r="J116" s="6">
        <f>I116*(365/12)/1000</f>
        <v>0</v>
      </c>
      <c r="K116" s="84">
        <f>J116/$D$4</f>
        <v>0</v>
      </c>
      <c r="L116" s="33">
        <f>E116*J116/$D$4</f>
        <v>0</v>
      </c>
      <c r="M116" s="23">
        <f>J116*12</f>
        <v>0</v>
      </c>
      <c r="N116" s="94">
        <f>M116*$D$2*3</f>
        <v>0</v>
      </c>
      <c r="O116" s="63">
        <f>$M116*$D$2</f>
        <v>0</v>
      </c>
      <c r="P116" s="23">
        <f>Q116*H116</f>
        <v>0</v>
      </c>
      <c r="Q116" s="24">
        <f>G116/24</f>
        <v>0</v>
      </c>
      <c r="R116" s="58"/>
      <c r="S116" s="58"/>
      <c r="T116" s="58"/>
    </row>
    <row r="117" spans="1:256" ht="13.5">
      <c r="A117" s="82"/>
      <c r="B117" s="82"/>
      <c r="C117" s="82" t="s">
        <v>22</v>
      </c>
      <c r="D117" s="82" t="s">
        <v>182</v>
      </c>
      <c r="E117" s="82"/>
      <c r="F117" s="39" t="s">
        <v>9</v>
      </c>
      <c r="G117" s="82">
        <v>24</v>
      </c>
      <c r="H117" s="82">
        <f>H106-H107</f>
        <v>17.700000000000003</v>
      </c>
      <c r="I117" s="90">
        <f>G117*H117</f>
        <v>424.80000000000007</v>
      </c>
      <c r="J117" s="66">
        <f>I117*(365/12)/1000</f>
        <v>12.921000000000001</v>
      </c>
      <c r="K117" s="7">
        <f>J117/$D$4</f>
        <v>0.015201176470588237</v>
      </c>
      <c r="L117" s="91">
        <f>E117*J117/$D$4</f>
        <v>0</v>
      </c>
      <c r="M117" s="66">
        <f>J117*12</f>
        <v>155.05200000000002</v>
      </c>
      <c r="N117" s="48">
        <f>M117*$D$2*3</f>
        <v>88.37964000000002</v>
      </c>
      <c r="O117" s="89">
        <f>$M117*$D$2</f>
        <v>29.459880000000005</v>
      </c>
      <c r="P117" s="66">
        <f>Q117*H117</f>
        <v>17.700000000000003</v>
      </c>
      <c r="Q117" s="13">
        <f>G117/24</f>
        <v>1</v>
      </c>
      <c r="R117" s="82"/>
      <c r="S117" s="82" t="s">
        <v>18</v>
      </c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  <c r="GM117" s="82"/>
      <c r="GN117" s="82"/>
      <c r="GO117" s="82"/>
      <c r="GP117" s="82"/>
      <c r="GQ117" s="82"/>
      <c r="GR117" s="82"/>
      <c r="GS117" s="82"/>
      <c r="GT117" s="82"/>
      <c r="GU117" s="82"/>
      <c r="GV117" s="82"/>
      <c r="GW117" s="82"/>
      <c r="GX117" s="82"/>
      <c r="GY117" s="82"/>
      <c r="GZ117" s="82"/>
      <c r="HA117" s="82"/>
      <c r="HB117" s="82"/>
      <c r="HC117" s="82"/>
      <c r="HD117" s="82"/>
      <c r="HE117" s="82"/>
      <c r="HF117" s="82"/>
      <c r="HG117" s="82"/>
      <c r="HH117" s="82"/>
      <c r="HI117" s="82"/>
      <c r="HJ117" s="82"/>
      <c r="HK117" s="82"/>
      <c r="HL117" s="82"/>
      <c r="HM117" s="82"/>
      <c r="HN117" s="82"/>
      <c r="HO117" s="82"/>
      <c r="HP117" s="82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2"/>
      <c r="IC117" s="82"/>
      <c r="ID117" s="82"/>
      <c r="IE117" s="82"/>
      <c r="IF117" s="82"/>
      <c r="IG117" s="82"/>
      <c r="IH117" s="82"/>
      <c r="II117" s="82"/>
      <c r="IJ117" s="82"/>
      <c r="IK117" s="82"/>
      <c r="IL117" s="82"/>
      <c r="IM117" s="82"/>
      <c r="IN117" s="82"/>
      <c r="IO117" s="82"/>
      <c r="IP117" s="82"/>
      <c r="IQ117" s="82"/>
      <c r="IR117" s="82"/>
      <c r="IS117" s="82"/>
      <c r="IT117" s="82"/>
      <c r="IU117" s="82"/>
      <c r="IV117" s="82"/>
    </row>
    <row r="118" spans="1:256" ht="13.5">
      <c r="A118" s="65"/>
      <c r="B118" s="65"/>
      <c r="C118" s="65" t="s">
        <v>22</v>
      </c>
      <c r="D118" s="65" t="s">
        <v>23</v>
      </c>
      <c r="E118" s="65"/>
      <c r="F118" s="20" t="s">
        <v>24</v>
      </c>
      <c r="G118" s="65">
        <v>24</v>
      </c>
      <c r="H118" s="65">
        <v>8</v>
      </c>
      <c r="I118" s="12">
        <f>G118*H118</f>
        <v>192</v>
      </c>
      <c r="J118" s="22">
        <f>I118*(365/12)/1000</f>
        <v>5.84</v>
      </c>
      <c r="K118" s="28">
        <f>J118/$D$4</f>
        <v>0.006870588235294118</v>
      </c>
      <c r="L118" s="19">
        <f>E118*J118/$D$4</f>
        <v>0</v>
      </c>
      <c r="M118" s="22">
        <f>J118*12</f>
        <v>70.08</v>
      </c>
      <c r="N118" s="71">
        <f>M118*$D$2*3</f>
        <v>39.9456</v>
      </c>
      <c r="O118" s="41">
        <f>$M118*$D$2</f>
        <v>13.315199999999999</v>
      </c>
      <c r="P118" s="22">
        <f>Q118*H118</f>
        <v>8</v>
      </c>
      <c r="Q118" s="45">
        <f>G118/24</f>
        <v>1</v>
      </c>
      <c r="R118" s="65"/>
      <c r="S118" s="65" t="s">
        <v>27</v>
      </c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  <c r="IS118" s="65"/>
      <c r="IT118" s="65"/>
      <c r="IU118" s="65"/>
      <c r="IV118" s="65"/>
    </row>
    <row r="119" spans="1:20" ht="13.5">
      <c r="A119" s="58"/>
      <c r="B119" s="58"/>
      <c r="C119" s="58"/>
      <c r="D119" s="58"/>
      <c r="E119" s="58"/>
      <c r="F119" s="14"/>
      <c r="G119" s="58"/>
      <c r="H119" s="58"/>
      <c r="I119" s="42"/>
      <c r="J119" s="6"/>
      <c r="K119" s="84"/>
      <c r="L119" s="33"/>
      <c r="M119" s="23"/>
      <c r="N119" s="94"/>
      <c r="O119" s="63"/>
      <c r="P119" s="23"/>
      <c r="Q119" s="24"/>
      <c r="R119" s="58"/>
      <c r="S119" s="58"/>
      <c r="T119" s="58"/>
    </row>
    <row r="120" spans="1:256" ht="13.5">
      <c r="A120" s="11" t="s">
        <v>71</v>
      </c>
      <c r="B120" s="11" t="s">
        <v>87</v>
      </c>
      <c r="C120" s="11"/>
      <c r="D120" s="11" t="s">
        <v>88</v>
      </c>
      <c r="E120" s="11">
        <v>1</v>
      </c>
      <c r="F120" s="2"/>
      <c r="G120" s="77">
        <f>1*16/30</f>
        <v>0.5333333333333333</v>
      </c>
      <c r="H120" s="11">
        <v>5500</v>
      </c>
      <c r="I120" s="4">
        <f>G120*H120</f>
        <v>2933.3333333333335</v>
      </c>
      <c r="J120" s="83">
        <f>I120*(365/12)/1000</f>
        <v>89.22222222222223</v>
      </c>
      <c r="K120" s="33">
        <f>J120/$D$4</f>
        <v>0.10496732026143792</v>
      </c>
      <c r="L120" s="33">
        <f>E120*J120/$D$4</f>
        <v>0.10496732026143792</v>
      </c>
      <c r="M120" s="38">
        <f>J120*12</f>
        <v>1070.6666666666667</v>
      </c>
      <c r="N120" s="63">
        <f>M120*$D$2*3</f>
        <v>610.28</v>
      </c>
      <c r="O120" s="63">
        <f>$M120*$D$2</f>
        <v>203.42666666666668</v>
      </c>
      <c r="P120" s="38">
        <f>Q120*H120</f>
        <v>122.22222222222223</v>
      </c>
      <c r="Q120" s="40">
        <f>G120/24</f>
        <v>0.022222222222222223</v>
      </c>
      <c r="R120" s="11"/>
      <c r="S120" s="11" t="s">
        <v>90</v>
      </c>
      <c r="T120" s="11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  <c r="IF120" s="73"/>
      <c r="IG120" s="73"/>
      <c r="IH120" s="73"/>
      <c r="II120" s="73"/>
      <c r="IJ120" s="73"/>
      <c r="IK120" s="73"/>
      <c r="IL120" s="73"/>
      <c r="IM120" s="73"/>
      <c r="IN120" s="73"/>
      <c r="IO120" s="73"/>
      <c r="IP120" s="73"/>
      <c r="IQ120" s="73"/>
      <c r="IR120" s="73"/>
      <c r="IS120" s="73"/>
      <c r="IT120" s="73"/>
      <c r="IU120" s="73"/>
      <c r="IV120" s="73"/>
    </row>
    <row r="121" spans="1:256" ht="13.5">
      <c r="A121" s="65"/>
      <c r="B121" s="65"/>
      <c r="C121" s="65" t="s">
        <v>104</v>
      </c>
      <c r="D121" s="65" t="s">
        <v>113</v>
      </c>
      <c r="E121" s="65"/>
      <c r="F121" s="20" t="s">
        <v>24</v>
      </c>
      <c r="G121" s="79">
        <f>G120</f>
        <v>0.5333333333333333</v>
      </c>
      <c r="H121" s="12">
        <f>H120*0.8</f>
        <v>4400</v>
      </c>
      <c r="I121" s="12">
        <f>G121*H121</f>
        <v>2346.6666666666665</v>
      </c>
      <c r="J121" s="22">
        <f>I121*(365/12)/1000</f>
        <v>71.37777777777778</v>
      </c>
      <c r="K121" s="28">
        <f>J121/$D$4</f>
        <v>0.08397385620915034</v>
      </c>
      <c r="L121" s="19">
        <f>E121*J121/$D$4</f>
        <v>0</v>
      </c>
      <c r="M121" s="22">
        <f>J121*12</f>
        <v>856.5333333333333</v>
      </c>
      <c r="N121" s="71">
        <f>M121*$D$2*3</f>
        <v>488.224</v>
      </c>
      <c r="O121" s="41">
        <f>$M121*$D$2</f>
        <v>162.74133333333333</v>
      </c>
      <c r="P121" s="22">
        <f>Q121*H121</f>
        <v>97.77777777777779</v>
      </c>
      <c r="Q121" s="45">
        <f>G121/24</f>
        <v>0.022222222222222223</v>
      </c>
      <c r="R121" s="65"/>
      <c r="S121" s="65"/>
      <c r="T121" s="65" t="s">
        <v>12</v>
      </c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5"/>
      <c r="IT121" s="65"/>
      <c r="IU121" s="65"/>
      <c r="IV121" s="65"/>
    </row>
    <row r="122" spans="1:256" ht="13.5">
      <c r="A122" s="11"/>
      <c r="B122" s="11" t="s">
        <v>136</v>
      </c>
      <c r="C122" s="11"/>
      <c r="D122" s="11" t="s">
        <v>132</v>
      </c>
      <c r="E122" s="11">
        <v>1</v>
      </c>
      <c r="F122" s="2"/>
      <c r="G122" s="77">
        <f>0.4*16/30</f>
        <v>0.21333333333333335</v>
      </c>
      <c r="H122" s="11">
        <v>600</v>
      </c>
      <c r="I122" s="4">
        <f>G122*H122</f>
        <v>128</v>
      </c>
      <c r="J122" s="83">
        <f>I122*(365/12)/1000</f>
        <v>3.8933333333333335</v>
      </c>
      <c r="K122" s="33">
        <f>J122/$D$4</f>
        <v>0.004580392156862745</v>
      </c>
      <c r="L122" s="33">
        <f>E122*J122/$D$4</f>
        <v>0.004580392156862745</v>
      </c>
      <c r="M122" s="38">
        <f>J122*12</f>
        <v>46.72</v>
      </c>
      <c r="N122" s="63">
        <f>M122*$D$2*3</f>
        <v>26.630399999999998</v>
      </c>
      <c r="O122" s="63">
        <f>$M122*$D$2</f>
        <v>8.8768</v>
      </c>
      <c r="P122" s="38">
        <f>Q122*H122</f>
        <v>5.333333333333333</v>
      </c>
      <c r="Q122" s="40">
        <f>G122/24</f>
        <v>0.008888888888888889</v>
      </c>
      <c r="R122" s="11"/>
      <c r="S122" s="11"/>
      <c r="T122" s="11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  <c r="IV122" s="73"/>
    </row>
    <row r="123" spans="1:256" ht="13.5">
      <c r="A123" s="11"/>
      <c r="B123" s="11" t="s">
        <v>169</v>
      </c>
      <c r="C123" s="11"/>
      <c r="D123" s="11" t="s">
        <v>132</v>
      </c>
      <c r="E123" s="11">
        <v>1</v>
      </c>
      <c r="F123" s="2"/>
      <c r="G123" s="11">
        <f>10/5</f>
        <v>2</v>
      </c>
      <c r="H123" s="11">
        <v>800</v>
      </c>
      <c r="I123" s="4">
        <f>G123*H123</f>
        <v>1600</v>
      </c>
      <c r="J123" s="83">
        <f>I123*(365/12)/1000</f>
        <v>48.66666666666667</v>
      </c>
      <c r="K123" s="33">
        <f>J123/$D$4</f>
        <v>0.05725490196078432</v>
      </c>
      <c r="L123" s="33">
        <f>E123*J123/$D$4</f>
        <v>0.05725490196078432</v>
      </c>
      <c r="M123" s="38">
        <f>J123*12</f>
        <v>584</v>
      </c>
      <c r="N123" s="63">
        <f>M123*$D$2*3</f>
        <v>332.88</v>
      </c>
      <c r="O123" s="63">
        <f>$M123*$D$2</f>
        <v>110.96000000000001</v>
      </c>
      <c r="P123" s="38">
        <f>Q123*H123</f>
        <v>66.66666666666666</v>
      </c>
      <c r="Q123" s="40">
        <f>G123/24</f>
        <v>0.08333333333333333</v>
      </c>
      <c r="R123" s="11"/>
      <c r="S123" s="11"/>
      <c r="T123" s="11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  <c r="IF123" s="73"/>
      <c r="IG123" s="73"/>
      <c r="IH123" s="73"/>
      <c r="II123" s="73"/>
      <c r="IJ123" s="73"/>
      <c r="IK123" s="73"/>
      <c r="IL123" s="73"/>
      <c r="IM123" s="73"/>
      <c r="IN123" s="73"/>
      <c r="IO123" s="73"/>
      <c r="IP123" s="73"/>
      <c r="IQ123" s="73"/>
      <c r="IR123" s="73"/>
      <c r="IS123" s="73"/>
      <c r="IT123" s="73"/>
      <c r="IU123" s="73"/>
      <c r="IV123" s="73"/>
    </row>
    <row r="124" spans="1:256" ht="13.5">
      <c r="A124" s="11"/>
      <c r="B124" s="11" t="s">
        <v>180</v>
      </c>
      <c r="C124" s="11"/>
      <c r="D124" s="11" t="s">
        <v>132</v>
      </c>
      <c r="E124" s="11">
        <v>1</v>
      </c>
      <c r="F124" s="2"/>
      <c r="G124" s="11">
        <f>8/5</f>
        <v>1.6</v>
      </c>
      <c r="H124" s="11">
        <v>52</v>
      </c>
      <c r="I124" s="4">
        <f>G124*H124</f>
        <v>83.2</v>
      </c>
      <c r="J124" s="83">
        <f>I124*(365/12)/1000</f>
        <v>2.530666666666667</v>
      </c>
      <c r="K124" s="33">
        <f>J124/$D$4</f>
        <v>0.0029772549019607846</v>
      </c>
      <c r="L124" s="33">
        <f>E124*J124/$D$4</f>
        <v>0.0029772549019607846</v>
      </c>
      <c r="M124" s="38">
        <f>J124*12</f>
        <v>30.368000000000002</v>
      </c>
      <c r="N124" s="63">
        <f>M124*$D$2*3</f>
        <v>17.309760000000004</v>
      </c>
      <c r="O124" s="63">
        <f>$M124*$D$2</f>
        <v>5.769920000000001</v>
      </c>
      <c r="P124" s="38">
        <f>Q124*H124</f>
        <v>3.466666666666667</v>
      </c>
      <c r="Q124" s="40">
        <f>G124/24</f>
        <v>0.06666666666666667</v>
      </c>
      <c r="R124" s="11"/>
      <c r="S124" s="11"/>
      <c r="T124" s="11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</row>
    <row r="125" spans="1:20" ht="13.5">
      <c r="A125" s="58"/>
      <c r="B125" s="58"/>
      <c r="C125" s="58"/>
      <c r="D125" s="58"/>
      <c r="E125" s="58"/>
      <c r="F125" s="14"/>
      <c r="G125" s="58"/>
      <c r="H125" s="58"/>
      <c r="I125" s="42">
        <f>G125*H125</f>
        <v>0</v>
      </c>
      <c r="J125" s="6">
        <f>I125*(365/12)/1000</f>
        <v>0</v>
      </c>
      <c r="K125" s="84">
        <f>J125/$D$4</f>
        <v>0</v>
      </c>
      <c r="L125" s="33">
        <f>E125*J125/$D$4</f>
        <v>0</v>
      </c>
      <c r="M125" s="23">
        <f>J125*12</f>
        <v>0</v>
      </c>
      <c r="N125" s="94">
        <f>M125*$D$2*3</f>
        <v>0</v>
      </c>
      <c r="O125" s="63">
        <f>$M125*$D$2</f>
        <v>0</v>
      </c>
      <c r="P125" s="23">
        <f>Q125*H125</f>
        <v>0</v>
      </c>
      <c r="Q125" s="24">
        <f>G125/24</f>
        <v>0</v>
      </c>
      <c r="R125" s="58"/>
      <c r="S125" s="58"/>
      <c r="T125" s="58"/>
    </row>
    <row r="126" spans="1:256" ht="13.5">
      <c r="A126" s="11"/>
      <c r="B126" s="11" t="s">
        <v>52</v>
      </c>
      <c r="C126" s="11"/>
      <c r="D126" s="11" t="s">
        <v>53</v>
      </c>
      <c r="E126" s="11">
        <v>1</v>
      </c>
      <c r="F126" s="2"/>
      <c r="G126" s="11">
        <v>24</v>
      </c>
      <c r="H126" s="11">
        <v>87</v>
      </c>
      <c r="I126" s="4">
        <f>G126*H126</f>
        <v>2088</v>
      </c>
      <c r="J126" s="83">
        <f>I126*(365/12)/1000</f>
        <v>63.51</v>
      </c>
      <c r="K126" s="33">
        <f>J126/$D$4</f>
        <v>0.07471764705882353</v>
      </c>
      <c r="L126" s="33">
        <f>E126*J126/$D$4</f>
        <v>0.07471764705882353</v>
      </c>
      <c r="M126" s="38">
        <f>J126*12</f>
        <v>762.12</v>
      </c>
      <c r="N126" s="63">
        <f>M126*$D$2*3</f>
        <v>434.4084</v>
      </c>
      <c r="O126" s="63">
        <f>$M126*$D$2</f>
        <v>144.8028</v>
      </c>
      <c r="P126" s="38">
        <f>Q126*H126</f>
        <v>87</v>
      </c>
      <c r="Q126" s="40">
        <f>G126/24</f>
        <v>1</v>
      </c>
      <c r="R126" s="11"/>
      <c r="S126" s="11" t="s">
        <v>56</v>
      </c>
      <c r="T126" s="11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  <c r="IV126" s="73"/>
    </row>
    <row r="127" spans="1:20" ht="13.5">
      <c r="A127" s="58"/>
      <c r="B127" s="58"/>
      <c r="C127" s="58" t="s">
        <v>81</v>
      </c>
      <c r="D127" s="58" t="s">
        <v>82</v>
      </c>
      <c r="E127" s="58"/>
      <c r="F127" s="14"/>
      <c r="G127" s="58"/>
      <c r="H127" s="58">
        <v>115</v>
      </c>
      <c r="I127" s="42">
        <f>G127*H127</f>
        <v>0</v>
      </c>
      <c r="J127" s="6">
        <f>I127*(365/12)/1000</f>
        <v>0</v>
      </c>
      <c r="K127" s="84">
        <f>J127/$D$4</f>
        <v>0</v>
      </c>
      <c r="L127" s="33">
        <f>E127*J127/$D$4</f>
        <v>0</v>
      </c>
      <c r="M127" s="23">
        <f>J127*12</f>
        <v>0</v>
      </c>
      <c r="N127" s="94">
        <f>M127*$D$2*3</f>
        <v>0</v>
      </c>
      <c r="O127" s="63">
        <f>$M127*$D$2</f>
        <v>0</v>
      </c>
      <c r="P127" s="23">
        <f>Q127*H127</f>
        <v>0</v>
      </c>
      <c r="Q127" s="24">
        <f>G127/24</f>
        <v>0</v>
      </c>
      <c r="R127" s="58"/>
      <c r="S127" s="58"/>
      <c r="T127" s="58"/>
    </row>
    <row r="128" spans="1:256" ht="13.5">
      <c r="A128" s="65"/>
      <c r="B128" s="65"/>
      <c r="C128" s="65" t="s">
        <v>104</v>
      </c>
      <c r="D128" s="65" t="s">
        <v>105</v>
      </c>
      <c r="E128" s="65"/>
      <c r="F128" s="20" t="s">
        <v>24</v>
      </c>
      <c r="G128" s="65">
        <v>24</v>
      </c>
      <c r="H128" s="12">
        <f>H126-560*1000*0.85/(24*365)</f>
        <v>32.662100456621005</v>
      </c>
      <c r="I128" s="12">
        <f>G128*H128</f>
        <v>783.8904109589041</v>
      </c>
      <c r="J128" s="22">
        <f>I128*(365/12)/1000</f>
        <v>23.843333333333337</v>
      </c>
      <c r="K128" s="28">
        <f>J128/$D$4</f>
        <v>0.028050980392156866</v>
      </c>
      <c r="L128" s="19">
        <f>E128*J128/$D$4</f>
        <v>0</v>
      </c>
      <c r="M128" s="22">
        <f>J128*12</f>
        <v>286.12000000000006</v>
      </c>
      <c r="N128" s="71">
        <f>M128*$D$2*3</f>
        <v>163.08840000000004</v>
      </c>
      <c r="O128" s="41">
        <f>$M128*$D$2</f>
        <v>54.362800000000014</v>
      </c>
      <c r="P128" s="22">
        <f>Q128*H128</f>
        <v>32.662100456621005</v>
      </c>
      <c r="Q128" s="45">
        <f>G128/24</f>
        <v>1</v>
      </c>
      <c r="R128" s="65"/>
      <c r="S128" s="65"/>
      <c r="T128" s="65" t="s">
        <v>12</v>
      </c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  <c r="HE128" s="65"/>
      <c r="HF128" s="65"/>
      <c r="HG128" s="65"/>
      <c r="HH128" s="65"/>
      <c r="HI128" s="65"/>
      <c r="HJ128" s="65"/>
      <c r="HK128" s="65"/>
      <c r="HL128" s="65"/>
      <c r="HM128" s="65"/>
      <c r="HN128" s="65"/>
      <c r="HO128" s="65"/>
      <c r="HP128" s="65"/>
      <c r="HQ128" s="65"/>
      <c r="HR128" s="65"/>
      <c r="HS128" s="65"/>
      <c r="HT128" s="65"/>
      <c r="HU128" s="65"/>
      <c r="HV128" s="65"/>
      <c r="HW128" s="65"/>
      <c r="HX128" s="65"/>
      <c r="HY128" s="65"/>
      <c r="HZ128" s="65"/>
      <c r="IA128" s="65"/>
      <c r="IB128" s="65"/>
      <c r="IC128" s="65"/>
      <c r="ID128" s="65"/>
      <c r="IE128" s="65"/>
      <c r="IF128" s="65"/>
      <c r="IG128" s="65"/>
      <c r="IH128" s="65"/>
      <c r="II128" s="65"/>
      <c r="IJ128" s="65"/>
      <c r="IK128" s="65"/>
      <c r="IL128" s="65"/>
      <c r="IM128" s="65"/>
      <c r="IN128" s="65"/>
      <c r="IO128" s="65"/>
      <c r="IP128" s="65"/>
      <c r="IQ128" s="65"/>
      <c r="IR128" s="65"/>
      <c r="IS128" s="65"/>
      <c r="IT128" s="65"/>
      <c r="IU128" s="65"/>
      <c r="IV128" s="65"/>
    </row>
    <row r="129" spans="1:256" ht="13.5">
      <c r="A129" s="11"/>
      <c r="B129" s="11" t="s">
        <v>131</v>
      </c>
      <c r="C129" s="11"/>
      <c r="D129" s="11" t="s">
        <v>132</v>
      </c>
      <c r="E129" s="11">
        <v>1</v>
      </c>
      <c r="F129" s="2"/>
      <c r="G129" s="11">
        <v>0.1</v>
      </c>
      <c r="H129" s="11">
        <v>1500</v>
      </c>
      <c r="I129" s="4">
        <f>G129*H129</f>
        <v>150</v>
      </c>
      <c r="J129" s="83">
        <f>I129*(365/12)/1000</f>
        <v>4.5625</v>
      </c>
      <c r="K129" s="33">
        <f>J129/$D$4</f>
        <v>0.005367647058823529</v>
      </c>
      <c r="L129" s="33">
        <f>E129*J129/$D$4</f>
        <v>0.005367647058823529</v>
      </c>
      <c r="M129" s="38">
        <f>J129*12</f>
        <v>54.75</v>
      </c>
      <c r="N129" s="63">
        <f>M129*$D$2*3</f>
        <v>31.2075</v>
      </c>
      <c r="O129" s="63">
        <f>$M129*$D$2</f>
        <v>10.4025</v>
      </c>
      <c r="P129" s="38">
        <f>Q129*H129</f>
        <v>6.25</v>
      </c>
      <c r="Q129" s="40">
        <f>G129/24</f>
        <v>0.004166666666666667</v>
      </c>
      <c r="R129" s="11"/>
      <c r="S129" s="11"/>
      <c r="T129" s="11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  <c r="IF129" s="73"/>
      <c r="IG129" s="73"/>
      <c r="IH129" s="73"/>
      <c r="II129" s="73"/>
      <c r="IJ129" s="73"/>
      <c r="IK129" s="73"/>
      <c r="IL129" s="73"/>
      <c r="IM129" s="73"/>
      <c r="IN129" s="73"/>
      <c r="IO129" s="73"/>
      <c r="IP129" s="73"/>
      <c r="IQ129" s="73"/>
      <c r="IR129" s="73"/>
      <c r="IS129" s="73"/>
      <c r="IT129" s="73"/>
      <c r="IU129" s="73"/>
      <c r="IV129" s="73"/>
    </row>
    <row r="130" spans="1:256" ht="13.5">
      <c r="A130" s="11"/>
      <c r="B130" s="11" t="s">
        <v>166</v>
      </c>
      <c r="C130" s="11"/>
      <c r="D130" s="11" t="s">
        <v>132</v>
      </c>
      <c r="E130" s="11">
        <v>1</v>
      </c>
      <c r="F130" s="2"/>
      <c r="G130" s="77">
        <f>2*4/30</f>
        <v>0.26666666666666666</v>
      </c>
      <c r="H130" s="11">
        <v>1000</v>
      </c>
      <c r="I130" s="4">
        <f>G130*H130</f>
        <v>266.6666666666667</v>
      </c>
      <c r="J130" s="83">
        <f>I130*(365/12)/1000</f>
        <v>8.111111111111112</v>
      </c>
      <c r="K130" s="33">
        <f>J130/$D$4</f>
        <v>0.00954248366013072</v>
      </c>
      <c r="L130" s="33">
        <f>E130*J130/$D$4</f>
        <v>0.00954248366013072</v>
      </c>
      <c r="M130" s="38">
        <f>J130*12</f>
        <v>97.33333333333334</v>
      </c>
      <c r="N130" s="63">
        <f>M130*$D$2*3</f>
        <v>55.480000000000004</v>
      </c>
      <c r="O130" s="63">
        <f>$M130*$D$2</f>
        <v>18.493333333333336</v>
      </c>
      <c r="P130" s="38">
        <f>Q130*H130</f>
        <v>11.11111111111111</v>
      </c>
      <c r="Q130" s="40">
        <f>G130/24</f>
        <v>0.011111111111111112</v>
      </c>
      <c r="R130" s="11"/>
      <c r="S130" s="11"/>
      <c r="T130" s="11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  <c r="IF130" s="73"/>
      <c r="IG130" s="73"/>
      <c r="IH130" s="73"/>
      <c r="II130" s="73"/>
      <c r="IJ130" s="73"/>
      <c r="IK130" s="73"/>
      <c r="IL130" s="73"/>
      <c r="IM130" s="73"/>
      <c r="IN130" s="73"/>
      <c r="IO130" s="73"/>
      <c r="IP130" s="73"/>
      <c r="IQ130" s="73"/>
      <c r="IR130" s="73"/>
      <c r="IS130" s="73"/>
      <c r="IT130" s="73"/>
      <c r="IU130" s="73"/>
      <c r="IV130" s="73"/>
    </row>
    <row r="131" spans="1:256" ht="13.5">
      <c r="A131" s="11"/>
      <c r="B131" s="11" t="s">
        <v>177</v>
      </c>
      <c r="C131" s="11"/>
      <c r="D131" s="11" t="s">
        <v>132</v>
      </c>
      <c r="E131" s="11">
        <v>1</v>
      </c>
      <c r="F131" s="2"/>
      <c r="G131" s="11">
        <f>2*4/30*0.3</f>
        <v>0.08</v>
      </c>
      <c r="H131" s="11">
        <v>1400</v>
      </c>
      <c r="I131" s="4">
        <f>G131*H131</f>
        <v>112</v>
      </c>
      <c r="J131" s="83">
        <f>I131*(365/12)/1000</f>
        <v>3.406666666666667</v>
      </c>
      <c r="K131" s="33">
        <f>J131/$D$4</f>
        <v>0.004007843137254902</v>
      </c>
      <c r="L131" s="33">
        <f>E131*J131/$D$4</f>
        <v>0.004007843137254902</v>
      </c>
      <c r="M131" s="38">
        <f>J131*12</f>
        <v>40.88000000000001</v>
      </c>
      <c r="N131" s="63">
        <f>M131*$D$2*3</f>
        <v>23.301600000000004</v>
      </c>
      <c r="O131" s="63">
        <f>$M131*$D$2</f>
        <v>7.767200000000002</v>
      </c>
      <c r="P131" s="38">
        <f>Q131*H131</f>
        <v>4.666666666666667</v>
      </c>
      <c r="Q131" s="40">
        <f>G131/24</f>
        <v>0.0033333333333333335</v>
      </c>
      <c r="R131" s="11"/>
      <c r="S131" s="11"/>
      <c r="T131" s="11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  <c r="IV131" s="73"/>
    </row>
    <row r="132" spans="1:20" ht="13.5">
      <c r="A132" s="58"/>
      <c r="B132" s="11"/>
      <c r="C132" s="58"/>
      <c r="D132" s="11"/>
      <c r="E132" s="58"/>
      <c r="F132" s="14"/>
      <c r="G132" s="58"/>
      <c r="H132" s="58"/>
      <c r="I132" s="42">
        <f>G132*H132</f>
        <v>0</v>
      </c>
      <c r="J132" s="6">
        <f>I132*(365/12)/1000</f>
        <v>0</v>
      </c>
      <c r="K132" s="84">
        <f>J132/$D$4</f>
        <v>0</v>
      </c>
      <c r="L132" s="33">
        <f>E132*J132/$D$4</f>
        <v>0</v>
      </c>
      <c r="M132" s="23">
        <f>J132*12</f>
        <v>0</v>
      </c>
      <c r="N132" s="94">
        <f>M132*$D$2*3</f>
        <v>0</v>
      </c>
      <c r="O132" s="63">
        <f>$M132*$D$2</f>
        <v>0</v>
      </c>
      <c r="P132" s="23">
        <f>Q132*H132</f>
        <v>0</v>
      </c>
      <c r="Q132" s="24">
        <f>G132/24</f>
        <v>0</v>
      </c>
      <c r="R132" s="58"/>
      <c r="S132" s="58"/>
      <c r="T132" s="58"/>
    </row>
    <row r="133" spans="1:20" ht="13.5">
      <c r="A133" s="58"/>
      <c r="B133" s="11"/>
      <c r="C133" s="58"/>
      <c r="D133" s="11"/>
      <c r="E133" s="58"/>
      <c r="F133" s="14"/>
      <c r="G133" s="58"/>
      <c r="H133" s="58"/>
      <c r="I133" s="42">
        <f>G133*H133</f>
        <v>0</v>
      </c>
      <c r="J133" s="6">
        <f>I133*(365/12)/1000</f>
        <v>0</v>
      </c>
      <c r="K133" s="84">
        <f>J133/$D$4</f>
        <v>0</v>
      </c>
      <c r="L133" s="33">
        <f>E133*J133/$D$4</f>
        <v>0</v>
      </c>
      <c r="M133" s="23">
        <f>J133*12</f>
        <v>0</v>
      </c>
      <c r="N133" s="94">
        <f>M133*$D$2*3</f>
        <v>0</v>
      </c>
      <c r="O133" s="63">
        <f>$M133*$D$2</f>
        <v>0</v>
      </c>
      <c r="P133" s="23">
        <f>Q133*H133</f>
        <v>0</v>
      </c>
      <c r="Q133" s="24">
        <f>G133/24</f>
        <v>0</v>
      </c>
      <c r="R133" s="58"/>
      <c r="S133" s="58"/>
      <c r="T133" s="58"/>
    </row>
    <row r="134" spans="1:20" ht="13.5">
      <c r="A134" s="58"/>
      <c r="B134" s="11"/>
      <c r="C134" s="58"/>
      <c r="D134" s="11"/>
      <c r="E134" s="58"/>
      <c r="F134" s="14"/>
      <c r="G134" s="58"/>
      <c r="H134" s="58"/>
      <c r="I134" s="42">
        <f>G134*H134</f>
        <v>0</v>
      </c>
      <c r="J134" s="6">
        <f>I134*(365/12)/1000</f>
        <v>0</v>
      </c>
      <c r="K134" s="84">
        <f>J134/$D$4</f>
        <v>0</v>
      </c>
      <c r="L134" s="33">
        <f>E134*J134/$D$4</f>
        <v>0</v>
      </c>
      <c r="M134" s="23">
        <f>J134*12</f>
        <v>0</v>
      </c>
      <c r="N134" s="94">
        <f>M134*$D$2*3</f>
        <v>0</v>
      </c>
      <c r="O134" s="63">
        <f>$M134*$D$2</f>
        <v>0</v>
      </c>
      <c r="P134" s="23">
        <f>Q134*H134</f>
        <v>0</v>
      </c>
      <c r="Q134" s="24">
        <f>G134/24</f>
        <v>0</v>
      </c>
      <c r="R134" s="58"/>
      <c r="S134" s="58"/>
      <c r="T134" s="58"/>
    </row>
    <row r="135" spans="1:20" ht="13.5">
      <c r="A135" s="58"/>
      <c r="B135" s="11" t="s">
        <v>100</v>
      </c>
      <c r="C135" s="58"/>
      <c r="D135" s="11" t="s">
        <v>33</v>
      </c>
      <c r="E135" s="11">
        <v>1</v>
      </c>
      <c r="F135" s="2"/>
      <c r="G135" s="61">
        <v>24</v>
      </c>
      <c r="H135" s="77">
        <f>SUMPRODUCT(G136:G138,H136:H138)/24</f>
        <v>0.273972602739726</v>
      </c>
      <c r="I135" s="42">
        <f>G135*H135</f>
        <v>6.575342465753424</v>
      </c>
      <c r="J135" s="6">
        <f>I135*(365/12)/1000</f>
        <v>0.2</v>
      </c>
      <c r="K135" s="84">
        <f>J135/$D$4</f>
        <v>0.00023529411764705883</v>
      </c>
      <c r="L135" s="33">
        <f>E135*J135/$D$4</f>
        <v>0.00023529411764705883</v>
      </c>
      <c r="M135" s="23">
        <f>J135*12</f>
        <v>2.4000000000000004</v>
      </c>
      <c r="N135" s="94">
        <f>M135*$D$2*3</f>
        <v>1.3680000000000003</v>
      </c>
      <c r="O135" s="63">
        <f>$M135*$D$2</f>
        <v>0.45600000000000007</v>
      </c>
      <c r="P135" s="23">
        <f>Q135*H135</f>
        <v>0.273972602739726</v>
      </c>
      <c r="Q135" s="24">
        <f>G135/24</f>
        <v>1</v>
      </c>
      <c r="R135" s="58"/>
      <c r="S135" s="58"/>
      <c r="T135" s="58"/>
    </row>
    <row r="136" spans="1:20" ht="13.5">
      <c r="A136" s="58"/>
      <c r="B136" s="17"/>
      <c r="C136" s="58" t="s">
        <v>122</v>
      </c>
      <c r="D136" s="58" t="s">
        <v>14</v>
      </c>
      <c r="E136" s="58"/>
      <c r="F136" s="14"/>
      <c r="G136" s="86">
        <f>6*(20/365)</f>
        <v>0.3287671232876712</v>
      </c>
      <c r="H136" s="58">
        <v>20</v>
      </c>
      <c r="I136" s="42">
        <f>G136*H136</f>
        <v>6.575342465753424</v>
      </c>
      <c r="J136" s="6">
        <f>I136*(365/12)/1000</f>
        <v>0.2</v>
      </c>
      <c r="K136" s="84">
        <f>J136/$D$4</f>
        <v>0.00023529411764705883</v>
      </c>
      <c r="L136" s="33">
        <f>E136*J136/$D$4</f>
        <v>0</v>
      </c>
      <c r="M136" s="23">
        <f>J136*12</f>
        <v>2.4000000000000004</v>
      </c>
      <c r="N136" s="94">
        <f>M136*$D$2*3</f>
        <v>1.3680000000000003</v>
      </c>
      <c r="O136" s="63">
        <f>$M136*$D$2</f>
        <v>0.45600000000000007</v>
      </c>
      <c r="P136" s="23">
        <f>Q136*H136</f>
        <v>0.273972602739726</v>
      </c>
      <c r="Q136" s="24">
        <f>G136/24</f>
        <v>0.0136986301369863</v>
      </c>
      <c r="R136" s="58"/>
      <c r="S136" s="58"/>
      <c r="T136" s="58"/>
    </row>
    <row r="137" spans="1:20" ht="13.5">
      <c r="A137" s="58"/>
      <c r="B137" s="17"/>
      <c r="C137" s="58"/>
      <c r="D137" s="11"/>
      <c r="E137" s="58"/>
      <c r="F137" s="14"/>
      <c r="G137" s="58"/>
      <c r="H137" s="58"/>
      <c r="I137" s="42">
        <f>G137*H137</f>
        <v>0</v>
      </c>
      <c r="J137" s="6">
        <f>I137*(365/12)/1000</f>
        <v>0</v>
      </c>
      <c r="K137" s="84">
        <f>J137/$D$4</f>
        <v>0</v>
      </c>
      <c r="L137" s="33">
        <f>E137*J137/$D$4</f>
        <v>0</v>
      </c>
      <c r="M137" s="23">
        <f>J137*12</f>
        <v>0</v>
      </c>
      <c r="N137" s="94">
        <f>M137*$D$2*3</f>
        <v>0</v>
      </c>
      <c r="O137" s="63">
        <f>$M137*$D$2</f>
        <v>0</v>
      </c>
      <c r="P137" s="23">
        <f>Q137*H137</f>
        <v>0</v>
      </c>
      <c r="Q137" s="24">
        <f>G137/24</f>
        <v>0</v>
      </c>
      <c r="R137" s="58"/>
      <c r="S137" s="58"/>
      <c r="T137" s="58"/>
    </row>
    <row r="138" spans="1:20" ht="13.5">
      <c r="A138" s="58"/>
      <c r="B138" s="11"/>
      <c r="C138" s="58"/>
      <c r="D138" s="11"/>
      <c r="E138" s="58"/>
      <c r="F138" s="14"/>
      <c r="G138" s="58"/>
      <c r="H138" s="58"/>
      <c r="I138" s="42">
        <f>G138*H138</f>
        <v>0</v>
      </c>
      <c r="J138" s="6">
        <f>I138*(365/12)/1000</f>
        <v>0</v>
      </c>
      <c r="K138" s="84">
        <f>J138/$D$4</f>
        <v>0</v>
      </c>
      <c r="L138" s="33">
        <f>E138*J138/$D$4</f>
        <v>0</v>
      </c>
      <c r="M138" s="23">
        <f>J138*12</f>
        <v>0</v>
      </c>
      <c r="N138" s="94">
        <f>M138*$D$2*3</f>
        <v>0</v>
      </c>
      <c r="O138" s="63">
        <f>$M138*$D$2</f>
        <v>0</v>
      </c>
      <c r="P138" s="23">
        <f>Q138*H138</f>
        <v>0</v>
      </c>
      <c r="Q138" s="24">
        <f>G138/24</f>
        <v>0</v>
      </c>
      <c r="R138" s="58"/>
      <c r="S138" s="58"/>
      <c r="T138" s="58"/>
    </row>
    <row r="139" spans="1:20" ht="13.5">
      <c r="A139" s="58"/>
      <c r="B139" s="11"/>
      <c r="C139" s="58"/>
      <c r="D139" s="11"/>
      <c r="E139" s="58"/>
      <c r="F139" s="14"/>
      <c r="G139" s="58"/>
      <c r="H139" s="58"/>
      <c r="I139" s="42">
        <f>G139*H139</f>
        <v>0</v>
      </c>
      <c r="J139" s="6">
        <f>I139*(365/12)/1000</f>
        <v>0</v>
      </c>
      <c r="K139" s="84">
        <f>J139/$D$4</f>
        <v>0</v>
      </c>
      <c r="L139" s="33">
        <f>E139*J139/$D$4</f>
        <v>0</v>
      </c>
      <c r="M139" s="23">
        <f>J139*12</f>
        <v>0</v>
      </c>
      <c r="N139" s="94">
        <f>M139*$D$2*3</f>
        <v>0</v>
      </c>
      <c r="O139" s="63">
        <f>$M139*$D$2</f>
        <v>0</v>
      </c>
      <c r="P139" s="23">
        <f>Q139*H139</f>
        <v>0</v>
      </c>
      <c r="Q139" s="24">
        <f>G139/24</f>
        <v>0</v>
      </c>
      <c r="R139" s="58"/>
      <c r="S139" s="58"/>
      <c r="T139" s="58"/>
    </row>
    <row r="140" spans="1:20" ht="13.5">
      <c r="A140" s="58"/>
      <c r="B140" s="11" t="s">
        <v>32</v>
      </c>
      <c r="C140" s="58"/>
      <c r="D140" s="11" t="s">
        <v>33</v>
      </c>
      <c r="E140" s="11">
        <v>1</v>
      </c>
      <c r="F140" s="2"/>
      <c r="G140" s="61">
        <v>24</v>
      </c>
      <c r="H140" s="85">
        <f>SUMPRODUCT(G141:G143,H141:H143)/24</f>
        <v>2</v>
      </c>
      <c r="I140" s="42">
        <f>G140*H140</f>
        <v>48</v>
      </c>
      <c r="J140" s="6">
        <f>I140*(365/12)/1000</f>
        <v>1.46</v>
      </c>
      <c r="K140" s="84">
        <f>J140/$D$4</f>
        <v>0.0017176470588235295</v>
      </c>
      <c r="L140" s="33">
        <f>E140*J140/$D$4</f>
        <v>0.0017176470588235295</v>
      </c>
      <c r="M140" s="23">
        <f>J140*12</f>
        <v>17.52</v>
      </c>
      <c r="N140" s="94">
        <f>M140*$D$2*3</f>
        <v>9.9864</v>
      </c>
      <c r="O140" s="63">
        <f>$M140*$D$2</f>
        <v>3.3287999999999998</v>
      </c>
      <c r="P140" s="23">
        <f>Q140*H140</f>
        <v>2</v>
      </c>
      <c r="Q140" s="24">
        <f>G140/24</f>
        <v>1</v>
      </c>
      <c r="R140" s="58"/>
      <c r="S140" s="58"/>
      <c r="T140" s="58"/>
    </row>
    <row r="141" spans="1:20" ht="13.5">
      <c r="A141" s="58"/>
      <c r="B141" s="87"/>
      <c r="C141" s="58" t="s">
        <v>68</v>
      </c>
      <c r="D141" s="58" t="s">
        <v>69</v>
      </c>
      <c r="E141" s="58"/>
      <c r="F141" s="14"/>
      <c r="G141" s="58">
        <v>24</v>
      </c>
      <c r="H141" s="58">
        <v>1</v>
      </c>
      <c r="I141" s="42">
        <f>G141*H141</f>
        <v>24</v>
      </c>
      <c r="J141" s="6">
        <f>I141*(365/12)/1000</f>
        <v>0.73</v>
      </c>
      <c r="K141" s="84">
        <f>J141/$D$4</f>
        <v>0.0008588235294117647</v>
      </c>
      <c r="L141" s="33">
        <f>E141*J141/$D$4</f>
        <v>0</v>
      </c>
      <c r="M141" s="23">
        <f>J141*12</f>
        <v>8.76</v>
      </c>
      <c r="N141" s="94">
        <f>M141*$D$2*3</f>
        <v>4.9932</v>
      </c>
      <c r="O141" s="63">
        <f>$M141*$D$2</f>
        <v>1.6643999999999999</v>
      </c>
      <c r="P141" s="23">
        <f>Q141*H141</f>
        <v>1</v>
      </c>
      <c r="Q141" s="24">
        <f>G141/24</f>
        <v>1</v>
      </c>
      <c r="R141" s="58"/>
      <c r="S141" s="58"/>
      <c r="T141" s="58"/>
    </row>
    <row r="142" spans="1:20" ht="13.5">
      <c r="A142" s="58"/>
      <c r="B142" s="87"/>
      <c r="C142" s="58" t="s">
        <v>93</v>
      </c>
      <c r="D142" s="58" t="s">
        <v>69</v>
      </c>
      <c r="E142" s="58"/>
      <c r="F142" s="14"/>
      <c r="G142" s="58">
        <v>24</v>
      </c>
      <c r="H142" s="58">
        <v>1</v>
      </c>
      <c r="I142" s="42">
        <f>G142*H142</f>
        <v>24</v>
      </c>
      <c r="J142" s="6">
        <f>I142*(365/12)/1000</f>
        <v>0.73</v>
      </c>
      <c r="K142" s="84">
        <f>J142/$D$4</f>
        <v>0.0008588235294117647</v>
      </c>
      <c r="L142" s="33">
        <f>E142*J142/$D$4</f>
        <v>0</v>
      </c>
      <c r="M142" s="23">
        <f>J142*12</f>
        <v>8.76</v>
      </c>
      <c r="N142" s="94">
        <f>M142*$D$2*3</f>
        <v>4.9932</v>
      </c>
      <c r="O142" s="63">
        <f>$M142*$D$2</f>
        <v>1.6643999999999999</v>
      </c>
      <c r="P142" s="23">
        <f>Q142*H142</f>
        <v>1</v>
      </c>
      <c r="Q142" s="24">
        <f>G142/24</f>
        <v>1</v>
      </c>
      <c r="R142" s="58"/>
      <c r="S142" s="58"/>
      <c r="T142" s="58"/>
    </row>
    <row r="143" spans="1:20" ht="13.5">
      <c r="A143" s="58"/>
      <c r="B143" s="87"/>
      <c r="C143" s="58"/>
      <c r="D143" s="58"/>
      <c r="E143" s="58"/>
      <c r="F143" s="14"/>
      <c r="G143" s="58"/>
      <c r="H143" s="58"/>
      <c r="I143" s="42">
        <f>G143*H143</f>
        <v>0</v>
      </c>
      <c r="J143" s="6">
        <f>I143*(365/12)/1000</f>
        <v>0</v>
      </c>
      <c r="K143" s="84">
        <f>J143/$D$4</f>
        <v>0</v>
      </c>
      <c r="L143" s="33">
        <f>E143*J143/$D$4</f>
        <v>0</v>
      </c>
      <c r="M143" s="23">
        <f>J143*12</f>
        <v>0</v>
      </c>
      <c r="N143" s="94">
        <f>M143*$D$2*3</f>
        <v>0</v>
      </c>
      <c r="O143" s="63">
        <f>$M143*$D$2</f>
        <v>0</v>
      </c>
      <c r="P143" s="23">
        <f>Q143*H143</f>
        <v>0</v>
      </c>
      <c r="Q143" s="24">
        <f>G143/24</f>
        <v>0</v>
      </c>
      <c r="R143" s="58"/>
      <c r="S143" s="58"/>
      <c r="T143" s="58"/>
    </row>
    <row r="144" spans="1:20" ht="13.5">
      <c r="A144" s="58"/>
      <c r="B144" s="58"/>
      <c r="C144" s="58"/>
      <c r="D144" s="58"/>
      <c r="E144" s="58"/>
      <c r="F144" s="14"/>
      <c r="G144" s="58"/>
      <c r="H144" s="58"/>
      <c r="I144" s="42">
        <f>G144*H144</f>
        <v>0</v>
      </c>
      <c r="J144" s="6">
        <f>I144*(365/12)/1000</f>
        <v>0</v>
      </c>
      <c r="K144" s="84">
        <f>J144/$D$4</f>
        <v>0</v>
      </c>
      <c r="L144" s="33">
        <f>E144*J144/$D$4</f>
        <v>0</v>
      </c>
      <c r="M144" s="23">
        <f>J144*12</f>
        <v>0</v>
      </c>
      <c r="N144" s="94">
        <f>M144*$D$2*3</f>
        <v>0</v>
      </c>
      <c r="O144" s="63">
        <f>$M144*$D$2</f>
        <v>0</v>
      </c>
      <c r="P144" s="23">
        <f>Q144*H144</f>
        <v>0</v>
      </c>
      <c r="Q144" s="24">
        <f>G144/24</f>
        <v>0</v>
      </c>
      <c r="R144" s="58"/>
      <c r="S144" s="58"/>
      <c r="T144" s="58"/>
    </row>
    <row r="145" spans="1:20" ht="13.5">
      <c r="A145" s="58"/>
      <c r="B145" s="58"/>
      <c r="C145" s="58"/>
      <c r="D145" s="58"/>
      <c r="E145" s="58"/>
      <c r="F145" s="14"/>
      <c r="G145" s="58"/>
      <c r="H145" s="58"/>
      <c r="I145" s="42">
        <f>G145*H145</f>
        <v>0</v>
      </c>
      <c r="J145" s="6">
        <f>I145*(365/12)/1000</f>
        <v>0</v>
      </c>
      <c r="K145" s="84">
        <f>J145/$D$4</f>
        <v>0</v>
      </c>
      <c r="L145" s="33">
        <f>E145*J145/$D$4</f>
        <v>0</v>
      </c>
      <c r="M145" s="23">
        <f>J145*12</f>
        <v>0</v>
      </c>
      <c r="N145" s="94">
        <f>M145*$D$2*3</f>
        <v>0</v>
      </c>
      <c r="O145" s="63">
        <f>$M145*$D$2</f>
        <v>0</v>
      </c>
      <c r="P145" s="23">
        <f>Q145*H145</f>
        <v>0</v>
      </c>
      <c r="Q145" s="24">
        <f>G145/24</f>
        <v>0</v>
      </c>
      <c r="R145" s="58"/>
      <c r="S145" s="58"/>
      <c r="T145" s="58"/>
    </row>
    <row r="146" ht="13.5"/>
    <row r="147" spans="1:256" ht="13.5">
      <c r="A147" s="56"/>
      <c r="B147" s="68" t="s">
        <v>19</v>
      </c>
      <c r="C147" s="56"/>
      <c r="D147" s="56"/>
      <c r="E147" s="56"/>
      <c r="F147" s="15"/>
      <c r="G147" s="56"/>
      <c r="H147" s="56"/>
      <c r="I147" s="31"/>
      <c r="J147" s="4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  <c r="IR147" s="56"/>
      <c r="IS147" s="56"/>
      <c r="IT147" s="56"/>
      <c r="IU147" s="56"/>
      <c r="IV147" s="56"/>
    </row>
    <row r="148" spans="1:256" ht="13.5">
      <c r="A148" s="82"/>
      <c r="B148" s="82"/>
      <c r="C148" s="82" t="s">
        <v>61</v>
      </c>
      <c r="D148" s="82"/>
      <c r="E148" s="82"/>
      <c r="F148" s="39" t="s">
        <v>9</v>
      </c>
      <c r="G148" s="82"/>
      <c r="H148" s="82"/>
      <c r="I148" s="90">
        <f>SUMIF($F$7:$F$145,"done",I$7:I$145)</f>
        <v>2781.8</v>
      </c>
      <c r="J148" s="90">
        <f>SUMIF($F$7:$F$145,"done",J$7:J$145)</f>
        <v>84.61308333333335</v>
      </c>
      <c r="K148" s="78">
        <f>SUMIF($F$7:$F$145,"done",K$7:K$145)</f>
        <v>0.09954480392156864</v>
      </c>
      <c r="L148" s="90">
        <f>SUMIF($F$7:$F$145,"done",L$7:L$145)</f>
        <v>0</v>
      </c>
      <c r="M148" s="90">
        <f>SUMIF($F$7:$F$145,"done",M$7:M$145)</f>
        <v>1015.3569999999999</v>
      </c>
      <c r="N148" s="35">
        <f>SUMIF($F$7:$F$145,"done",N$7:N$145)</f>
        <v>578.7534900000002</v>
      </c>
      <c r="O148" s="35">
        <f>SUMIF($F$7:$F$145,"done",O$7:O$145)</f>
        <v>192.91783</v>
      </c>
      <c r="P148" s="90">
        <f>SUMIF($F$7:$F$145,"done",P$7:P$145)</f>
        <v>115.90833333333333</v>
      </c>
      <c r="Q148" s="90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2"/>
      <c r="GK148" s="82"/>
      <c r="GL148" s="82"/>
      <c r="GM148" s="82"/>
      <c r="GN148" s="82"/>
      <c r="GO148" s="82"/>
      <c r="GP148" s="82"/>
      <c r="GQ148" s="82"/>
      <c r="GR148" s="82"/>
      <c r="GS148" s="82"/>
      <c r="GT148" s="82"/>
      <c r="GU148" s="82"/>
      <c r="GV148" s="82"/>
      <c r="GW148" s="82"/>
      <c r="GX148" s="82"/>
      <c r="GY148" s="82"/>
      <c r="GZ148" s="82"/>
      <c r="HA148" s="82"/>
      <c r="HB148" s="82"/>
      <c r="HC148" s="82"/>
      <c r="HD148" s="82"/>
      <c r="HE148" s="82"/>
      <c r="HF148" s="82"/>
      <c r="HG148" s="82"/>
      <c r="HH148" s="82"/>
      <c r="HI148" s="82"/>
      <c r="HJ148" s="82"/>
      <c r="HK148" s="82"/>
      <c r="HL148" s="82"/>
      <c r="HM148" s="82"/>
      <c r="HN148" s="82"/>
      <c r="HO148" s="82"/>
      <c r="HP148" s="82"/>
      <c r="HQ148" s="82"/>
      <c r="HR148" s="82"/>
      <c r="HS148" s="82"/>
      <c r="HT148" s="82"/>
      <c r="HU148" s="82"/>
      <c r="HV148" s="82"/>
      <c r="HW148" s="82"/>
      <c r="HX148" s="82"/>
      <c r="HY148" s="82"/>
      <c r="HZ148" s="82"/>
      <c r="IA148" s="82"/>
      <c r="IB148" s="82"/>
      <c r="IC148" s="82"/>
      <c r="ID148" s="82"/>
      <c r="IE148" s="82"/>
      <c r="IF148" s="82"/>
      <c r="IG148" s="82"/>
      <c r="IH148" s="82"/>
      <c r="II148" s="82"/>
      <c r="IJ148" s="82"/>
      <c r="IK148" s="82"/>
      <c r="IL148" s="82"/>
      <c r="IM148" s="82"/>
      <c r="IN148" s="82"/>
      <c r="IO148" s="82"/>
      <c r="IP148" s="82"/>
      <c r="IQ148" s="82"/>
      <c r="IR148" s="82"/>
      <c r="IS148" s="82"/>
      <c r="IT148" s="82"/>
      <c r="IU148" s="82"/>
      <c r="IV148" s="82"/>
    </row>
    <row r="149" spans="1:256" ht="13.5">
      <c r="A149" s="82"/>
      <c r="B149" s="82"/>
      <c r="C149" s="82" t="s">
        <v>85</v>
      </c>
      <c r="D149" s="82"/>
      <c r="E149" s="82"/>
      <c r="F149" s="39" t="s">
        <v>60</v>
      </c>
      <c r="G149" s="82"/>
      <c r="H149" s="82"/>
      <c r="I149" s="90">
        <f>SUMIF($F$7:$F$145,"todo",I$7:I$145)</f>
        <v>1045</v>
      </c>
      <c r="J149" s="90">
        <f>SUMIF($F$7:$F$145,"todo",J$7:J$145)</f>
        <v>31.78541666666667</v>
      </c>
      <c r="K149" s="78">
        <f>SUMIF($F$7:$F$145,"todo",K$7:K$145)</f>
        <v>0.03739460784313726</v>
      </c>
      <c r="L149" s="90">
        <f>SUMIF($F$7:$F$145,"todo",L$7:L$145)</f>
        <v>0</v>
      </c>
      <c r="M149" s="90">
        <f>SUMIF($F$7:$F$145,"todo",M$7:M$145)</f>
        <v>381.42500000000007</v>
      </c>
      <c r="N149" s="35">
        <f>SUMIF($F$7:$F$145,"todo",N$7:N$145)</f>
        <v>217.41225000000003</v>
      </c>
      <c r="O149" s="35">
        <f>SUMIF($F$7:$F$145,"todo",O$7:O$145)</f>
        <v>72.47075000000001</v>
      </c>
      <c r="P149" s="90">
        <f>SUMIF($F$7:$F$145,"todo",P$7:P$145)</f>
        <v>43.541666666666664</v>
      </c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2"/>
      <c r="GK149" s="82"/>
      <c r="GL149" s="82"/>
      <c r="GM149" s="82"/>
      <c r="GN149" s="82"/>
      <c r="GO149" s="82"/>
      <c r="GP149" s="82"/>
      <c r="GQ149" s="82"/>
      <c r="GR149" s="82"/>
      <c r="GS149" s="82"/>
      <c r="GT149" s="82"/>
      <c r="GU149" s="82"/>
      <c r="GV149" s="82"/>
      <c r="GW149" s="82"/>
      <c r="GX149" s="82"/>
      <c r="GY149" s="82"/>
      <c r="GZ149" s="82"/>
      <c r="HA149" s="82"/>
      <c r="HB149" s="82"/>
      <c r="HC149" s="82"/>
      <c r="HD149" s="82"/>
      <c r="HE149" s="82"/>
      <c r="HF149" s="82"/>
      <c r="HG149" s="82"/>
      <c r="HH149" s="82"/>
      <c r="HI149" s="82"/>
      <c r="HJ149" s="82"/>
      <c r="HK149" s="82"/>
      <c r="HL149" s="82"/>
      <c r="HM149" s="82"/>
      <c r="HN149" s="82"/>
      <c r="HO149" s="82"/>
      <c r="HP149" s="82"/>
      <c r="HQ149" s="82"/>
      <c r="HR149" s="82"/>
      <c r="HS149" s="82"/>
      <c r="HT149" s="82"/>
      <c r="HU149" s="82"/>
      <c r="HV149" s="82"/>
      <c r="HW149" s="82"/>
      <c r="HX149" s="82"/>
      <c r="HY149" s="82"/>
      <c r="HZ149" s="82"/>
      <c r="IA149" s="82"/>
      <c r="IB149" s="82"/>
      <c r="IC149" s="82"/>
      <c r="ID149" s="82"/>
      <c r="IE149" s="82"/>
      <c r="IF149" s="82"/>
      <c r="IG149" s="82"/>
      <c r="IH149" s="82"/>
      <c r="II149" s="82"/>
      <c r="IJ149" s="82"/>
      <c r="IK149" s="82"/>
      <c r="IL149" s="82"/>
      <c r="IM149" s="82"/>
      <c r="IN149" s="82"/>
      <c r="IO149" s="82"/>
      <c r="IP149" s="82"/>
      <c r="IQ149" s="82"/>
      <c r="IR149" s="82"/>
      <c r="IS149" s="82"/>
      <c r="IT149" s="82"/>
      <c r="IU149" s="82"/>
      <c r="IV149" s="82"/>
    </row>
    <row r="150" spans="1:256" ht="13.5">
      <c r="A150" s="69"/>
      <c r="B150" s="69"/>
      <c r="C150" s="69" t="s">
        <v>111</v>
      </c>
      <c r="D150" s="69"/>
      <c r="E150" s="69"/>
      <c r="F150" s="54"/>
      <c r="G150" s="69"/>
      <c r="H150" s="69"/>
      <c r="I150" s="37">
        <f>I149+I148</f>
        <v>3826.8</v>
      </c>
      <c r="J150" s="37">
        <f>J149+J148</f>
        <v>116.39850000000001</v>
      </c>
      <c r="K150" s="55">
        <f>K149+K148</f>
        <v>0.1369394117647059</v>
      </c>
      <c r="L150" s="37">
        <f>L149+L148</f>
        <v>0</v>
      </c>
      <c r="M150" s="37">
        <f>M149+M148</f>
        <v>1396.782</v>
      </c>
      <c r="N150" s="93">
        <f>N149+N148</f>
        <v>796.1657400000001</v>
      </c>
      <c r="O150" s="93">
        <f>O149+O148</f>
        <v>265.38858000000005</v>
      </c>
      <c r="P150" s="37">
        <f>P149+P148</f>
        <v>159.45</v>
      </c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ht="13.5">
      <c r="A151" s="82"/>
      <c r="B151" s="82"/>
      <c r="C151" s="82"/>
      <c r="D151" s="82"/>
      <c r="E151" s="82"/>
      <c r="F151" s="39"/>
      <c r="G151" s="82"/>
      <c r="H151" s="82"/>
      <c r="I151" s="90"/>
      <c r="J151" s="90"/>
      <c r="K151" s="78"/>
      <c r="L151" s="90"/>
      <c r="M151" s="90"/>
      <c r="N151" s="35"/>
      <c r="O151" s="35"/>
      <c r="P151" s="90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2"/>
      <c r="GK151" s="82"/>
      <c r="GL151" s="82"/>
      <c r="GM151" s="82"/>
      <c r="GN151" s="82"/>
      <c r="GO151" s="82"/>
      <c r="GP151" s="82"/>
      <c r="GQ151" s="82"/>
      <c r="GR151" s="82"/>
      <c r="GS151" s="82"/>
      <c r="GT151" s="82"/>
      <c r="GU151" s="82"/>
      <c r="GV151" s="82"/>
      <c r="GW151" s="82"/>
      <c r="GX151" s="82"/>
      <c r="GY151" s="82"/>
      <c r="GZ151" s="82"/>
      <c r="HA151" s="82"/>
      <c r="HB151" s="82"/>
      <c r="HC151" s="82"/>
      <c r="HD151" s="82"/>
      <c r="HE151" s="82"/>
      <c r="HF151" s="82"/>
      <c r="HG151" s="82"/>
      <c r="HH151" s="82"/>
      <c r="HI151" s="82"/>
      <c r="HJ151" s="82"/>
      <c r="HK151" s="82"/>
      <c r="HL151" s="82"/>
      <c r="HM151" s="82"/>
      <c r="HN151" s="82"/>
      <c r="HO151" s="82"/>
      <c r="HP151" s="82"/>
      <c r="HQ151" s="82"/>
      <c r="HR151" s="82"/>
      <c r="HS151" s="82"/>
      <c r="HT151" s="82"/>
      <c r="HU151" s="82"/>
      <c r="HV151" s="82"/>
      <c r="HW151" s="82"/>
      <c r="HX151" s="82"/>
      <c r="HY151" s="82"/>
      <c r="HZ151" s="82"/>
      <c r="IA151" s="82"/>
      <c r="IB151" s="82"/>
      <c r="IC151" s="82"/>
      <c r="ID151" s="82"/>
      <c r="IE151" s="82"/>
      <c r="IF151" s="82"/>
      <c r="IG151" s="82"/>
      <c r="IH151" s="82"/>
      <c r="II151" s="82"/>
      <c r="IJ151" s="82"/>
      <c r="IK151" s="82"/>
      <c r="IL151" s="82"/>
      <c r="IM151" s="82"/>
      <c r="IN151" s="82"/>
      <c r="IO151" s="82"/>
      <c r="IP151" s="82"/>
      <c r="IQ151" s="82"/>
      <c r="IR151" s="82"/>
      <c r="IS151" s="82"/>
      <c r="IT151" s="82"/>
      <c r="IU151" s="82"/>
      <c r="IV151" s="82"/>
    </row>
    <row r="152" spans="1:256" ht="12.75">
      <c r="A152" s="82"/>
      <c r="B152" s="82"/>
      <c r="C152" s="82" t="s">
        <v>104</v>
      </c>
      <c r="D152" s="82"/>
      <c r="E152" s="82"/>
      <c r="F152" s="39" t="s">
        <v>24</v>
      </c>
      <c r="G152" s="82"/>
      <c r="H152" s="82"/>
      <c r="I152" s="90">
        <f>SUMIF($F$7:$F$145,"future",I$7:I$145)</f>
        <v>5338.55707762557</v>
      </c>
      <c r="J152" s="90">
        <f>SUMIF($F$7:$F$145,"future",J$7:J$145)</f>
        <v>162.3811111111111</v>
      </c>
      <c r="K152" s="78">
        <f>SUMIF($F$7:$F$145,"future",K$7:K$145)</f>
        <v>0.19103660130718955</v>
      </c>
      <c r="L152" s="90">
        <f>SUMIF($F$7:$F$145,"future",L$7:L$145)</f>
        <v>0</v>
      </c>
      <c r="M152" s="90">
        <f>SUMIF($F$7:$F$145,"future",M$7:M$145)</f>
        <v>1948.5733333333335</v>
      </c>
      <c r="N152" s="35">
        <f>SUMIF($F$7:$F$145,"future",N$7:N$145)</f>
        <v>1110.6868000000002</v>
      </c>
      <c r="O152" s="35">
        <f>SUMIF($F$7:$F$145,"future",O$7:O$145)</f>
        <v>370.2289333333333</v>
      </c>
      <c r="P152" s="90">
        <f>SUMIF($F$7:$F$145,"future",P$7:P$145)</f>
        <v>222.43987823439878</v>
      </c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2"/>
      <c r="GK152" s="82"/>
      <c r="GL152" s="82"/>
      <c r="GM152" s="82"/>
      <c r="GN152" s="82"/>
      <c r="GO152" s="82"/>
      <c r="GP152" s="82"/>
      <c r="GQ152" s="82"/>
      <c r="GR152" s="82"/>
      <c r="GS152" s="82"/>
      <c r="GT152" s="82"/>
      <c r="GU152" s="82"/>
      <c r="GV152" s="82"/>
      <c r="GW152" s="82"/>
      <c r="GX152" s="82"/>
      <c r="GY152" s="82"/>
      <c r="GZ152" s="82"/>
      <c r="HA152" s="82"/>
      <c r="HB152" s="82"/>
      <c r="HC152" s="82"/>
      <c r="HD152" s="82"/>
      <c r="HE152" s="82"/>
      <c r="HF152" s="82"/>
      <c r="HG152" s="82"/>
      <c r="HH152" s="82"/>
      <c r="HI152" s="82"/>
      <c r="HJ152" s="82"/>
      <c r="HK152" s="82"/>
      <c r="HL152" s="82"/>
      <c r="HM152" s="82"/>
      <c r="HN152" s="82"/>
      <c r="HO152" s="82"/>
      <c r="HP152" s="82"/>
      <c r="HQ152" s="82"/>
      <c r="HR152" s="82"/>
      <c r="HS152" s="82"/>
      <c r="HT152" s="82"/>
      <c r="HU152" s="82"/>
      <c r="HV152" s="82"/>
      <c r="HW152" s="82"/>
      <c r="HX152" s="82"/>
      <c r="HY152" s="82"/>
      <c r="HZ152" s="82"/>
      <c r="IA152" s="82"/>
      <c r="IB152" s="82"/>
      <c r="IC152" s="82"/>
      <c r="ID152" s="82"/>
      <c r="IE152" s="82"/>
      <c r="IF152" s="82"/>
      <c r="IG152" s="82"/>
      <c r="IH152" s="82"/>
      <c r="II152" s="82"/>
      <c r="IJ152" s="82"/>
      <c r="IK152" s="82"/>
      <c r="IL152" s="82"/>
      <c r="IM152" s="82"/>
      <c r="IN152" s="82"/>
      <c r="IO152" s="82"/>
      <c r="IP152" s="82"/>
      <c r="IQ152" s="82"/>
      <c r="IR152" s="82"/>
      <c r="IS152" s="82"/>
      <c r="IT152" s="82"/>
      <c r="IU152" s="82"/>
      <c r="IV152" s="82"/>
    </row>
  </sheetData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zoomScaleSheetLayoutView="1" workbookViewId="0" topLeftCell="A3">
      <selection activeCell="D4" sqref="D4"/>
    </sheetView>
  </sheetViews>
  <sheetFormatPr defaultColWidth="9.00390625" defaultRowHeight="12.75"/>
  <cols>
    <col min="1" max="1" width="10.25390625" style="1" customWidth="1"/>
    <col min="2" max="2" width="10.375" style="1" customWidth="1"/>
    <col min="3" max="3" width="10.75390625" style="1" customWidth="1"/>
    <col min="4" max="4" width="14.125" style="1" customWidth="1"/>
    <col min="5" max="5" width="13.25390625" style="1" customWidth="1"/>
    <col min="6" max="6" width="10.375" style="1" customWidth="1"/>
    <col min="7" max="7" width="11.00390625" style="1" customWidth="1"/>
    <col min="8" max="8" width="11.25390625" style="1" customWidth="1"/>
    <col min="9" max="9" width="11.625" style="1" customWidth="1"/>
    <col min="10" max="10" width="10.75390625" style="1" customWidth="1"/>
    <col min="11" max="11" width="13.75390625" style="1" customWidth="1"/>
  </cols>
  <sheetData>
    <row r="2" spans="2:4" ht="13.5">
      <c r="B2" s="97" t="s">
        <v>188</v>
      </c>
      <c r="C2" s="112" t="s">
        <v>194</v>
      </c>
      <c r="D2" s="110">
        <v>0.07</v>
      </c>
    </row>
    <row r="3" spans="2:4" ht="13.5">
      <c r="B3" s="114" t="s">
        <v>188</v>
      </c>
      <c r="C3" s="108" t="s">
        <v>189</v>
      </c>
      <c r="D3" s="118">
        <v>0.12</v>
      </c>
    </row>
    <row r="4" spans="2:5" ht="13.5">
      <c r="B4" s="114" t="s">
        <v>188</v>
      </c>
      <c r="C4" s="109" t="s">
        <v>203</v>
      </c>
      <c r="D4" s="105">
        <f>D3+D2</f>
        <v>0.19</v>
      </c>
      <c r="E4" s="73"/>
    </row>
    <row r="5" spans="2:5" ht="13.5">
      <c r="B5" s="111"/>
      <c r="C5" s="100" t="s">
        <v>73</v>
      </c>
      <c r="D5" s="107">
        <v>114.2</v>
      </c>
      <c r="E5" s="73"/>
    </row>
    <row r="6" spans="2:5" ht="13.5">
      <c r="B6" s="98" t="s">
        <v>204</v>
      </c>
      <c r="C6" s="104"/>
      <c r="D6" s="107">
        <v>1.212</v>
      </c>
      <c r="E6" s="73"/>
    </row>
    <row r="7" spans="2:5" ht="13.5">
      <c r="B7" s="106" t="s">
        <v>191</v>
      </c>
      <c r="C7" s="99"/>
      <c r="D7" s="115">
        <f>33.33/6.06</f>
        <v>5.5</v>
      </c>
      <c r="E7" s="73"/>
    </row>
    <row r="8" ht="13.5"/>
    <row r="9" spans="1:11" ht="13.5">
      <c r="A9" s="53"/>
      <c r="B9" s="53" t="s">
        <v>192</v>
      </c>
      <c r="C9" s="53" t="s">
        <v>193</v>
      </c>
      <c r="D9" s="53" t="s">
        <v>149</v>
      </c>
      <c r="E9" s="53" t="s">
        <v>152</v>
      </c>
      <c r="F9" s="53" t="s">
        <v>195</v>
      </c>
      <c r="G9" s="53" t="s">
        <v>196</v>
      </c>
      <c r="H9" s="53" t="s">
        <v>197</v>
      </c>
      <c r="I9" s="53" t="s">
        <v>198</v>
      </c>
      <c r="J9" s="53" t="s">
        <v>199</v>
      </c>
      <c r="K9" s="53" t="s">
        <v>200</v>
      </c>
    </row>
    <row r="10" spans="1:11" ht="13.5">
      <c r="A10" s="95" t="s">
        <v>187</v>
      </c>
      <c r="B10" s="96">
        <f>C10/$D$5</f>
        <v>11.995297843245448</v>
      </c>
      <c r="C10" s="8">
        <f>1000*E10/(365*24)</f>
        <v>1369.86301369863</v>
      </c>
      <c r="D10" s="8">
        <v>1000</v>
      </c>
      <c r="E10" s="8">
        <f>D10*12</f>
        <v>12000</v>
      </c>
      <c r="F10" s="67">
        <f>D10*$D$4</f>
        <v>190</v>
      </c>
      <c r="G10" s="67">
        <f>E10*$D$4</f>
        <v>2280</v>
      </c>
      <c r="H10" s="102">
        <f>G10*3</f>
        <v>6840</v>
      </c>
      <c r="I10" s="116">
        <f>E10*$D$6</f>
        <v>14544</v>
      </c>
      <c r="J10" s="103">
        <f>I10/2000</f>
        <v>7.272</v>
      </c>
      <c r="K10" s="102">
        <f>$D$7*J10</f>
        <v>39.996</v>
      </c>
    </row>
    <row r="11" spans="1:11" ht="13.5">
      <c r="A11" s="95" t="s">
        <v>202</v>
      </c>
      <c r="B11" s="96">
        <f>C11/$D$5</f>
        <v>10.196003166758631</v>
      </c>
      <c r="C11" s="8">
        <f>1000*E11/(365*24)</f>
        <v>1164.3835616438357</v>
      </c>
      <c r="D11" s="8">
        <v>850</v>
      </c>
      <c r="E11" s="8">
        <f>D11*12</f>
        <v>10200</v>
      </c>
      <c r="F11" s="67">
        <f>D11*$D$4</f>
        <v>161.5</v>
      </c>
      <c r="G11" s="67">
        <f>E11*$D$4</f>
        <v>1938</v>
      </c>
      <c r="H11" s="102">
        <f>G11*3</f>
        <v>5814</v>
      </c>
      <c r="I11" s="116">
        <f>E11*$D$6</f>
        <v>12362.4</v>
      </c>
      <c r="J11" s="103">
        <f>I11/2000</f>
        <v>6.1812</v>
      </c>
      <c r="K11" s="102">
        <f>$D$7*J11</f>
        <v>33.9966</v>
      </c>
    </row>
    <row r="12" spans="1:11" ht="13.5">
      <c r="A12" s="95" t="s">
        <v>190</v>
      </c>
      <c r="B12" s="96">
        <f>C12/$D$5</f>
        <v>8.396708490271813</v>
      </c>
      <c r="C12" s="8">
        <f>1000*E12/(365*24)</f>
        <v>958.9041095890411</v>
      </c>
      <c r="D12" s="8">
        <v>700</v>
      </c>
      <c r="E12" s="8">
        <f>D12*12</f>
        <v>8400</v>
      </c>
      <c r="F12" s="67">
        <f>D12*$D$4</f>
        <v>133</v>
      </c>
      <c r="G12" s="67">
        <f>E12*$D$4</f>
        <v>1596</v>
      </c>
      <c r="H12" s="102">
        <f>G12*3</f>
        <v>4788</v>
      </c>
      <c r="I12" s="116">
        <f>E12*$D$6</f>
        <v>10180.8</v>
      </c>
      <c r="J12" s="103">
        <f>I12/2000</f>
        <v>5.0904</v>
      </c>
      <c r="K12" s="102">
        <f>$D$7*J12</f>
        <v>27.9972</v>
      </c>
    </row>
    <row r="13" spans="1:11" ht="13.5">
      <c r="A13" s="95"/>
      <c r="B13" s="96">
        <f>C13/$D$5</f>
        <v>3.5026269702276704</v>
      </c>
      <c r="C13" s="8">
        <v>400</v>
      </c>
      <c r="D13" s="8">
        <f>C13*(24*365/1000)/12</f>
        <v>292</v>
      </c>
      <c r="E13" s="8">
        <f>D13*12</f>
        <v>3504</v>
      </c>
      <c r="F13" s="67">
        <f>D13*$D$4</f>
        <v>55.480000000000004</v>
      </c>
      <c r="G13" s="67">
        <f>E13*$D$4</f>
        <v>665.76</v>
      </c>
      <c r="H13" s="102">
        <f>G13*3</f>
        <v>1997.28</v>
      </c>
      <c r="I13" s="116">
        <f>E13*$D$6</f>
        <v>4246.848</v>
      </c>
      <c r="J13" s="103">
        <f>I13/2000</f>
        <v>2.123424</v>
      </c>
      <c r="K13" s="102">
        <f>$D$7*J13</f>
        <v>11.678832</v>
      </c>
    </row>
    <row r="14" spans="1:11" ht="13.5">
      <c r="A14" s="95"/>
      <c r="B14" s="96">
        <f>C14/$D$5</f>
        <v>2.626970227670753</v>
      </c>
      <c r="C14" s="8">
        <v>300</v>
      </c>
      <c r="D14" s="8">
        <f>C14*(24*365/1000)/12</f>
        <v>219</v>
      </c>
      <c r="E14" s="8">
        <f>D14*12</f>
        <v>2628</v>
      </c>
      <c r="F14" s="67">
        <f>D14*$D$4</f>
        <v>41.61</v>
      </c>
      <c r="G14" s="67">
        <f>E14*$D$4</f>
        <v>499.32</v>
      </c>
      <c r="H14" s="102">
        <f>G14*3</f>
        <v>1497.96</v>
      </c>
      <c r="I14" s="116">
        <f>E14*$D$6</f>
        <v>3185.136</v>
      </c>
      <c r="J14" s="103">
        <f>I14/2000</f>
        <v>1.592568</v>
      </c>
      <c r="K14" s="102">
        <f>$D$7*J14</f>
        <v>8.759124</v>
      </c>
    </row>
    <row r="15" spans="1:11" ht="13.5">
      <c r="A15" s="95"/>
      <c r="B15" s="96">
        <f>C15/$D$5</f>
        <v>1.7513134851138352</v>
      </c>
      <c r="C15" s="8">
        <v>200</v>
      </c>
      <c r="D15" s="8">
        <f>C15*(24*365/1000)/12</f>
        <v>146</v>
      </c>
      <c r="E15" s="8">
        <f>D15*12</f>
        <v>1752</v>
      </c>
      <c r="F15" s="67">
        <f>D15*$D$4</f>
        <v>27.740000000000002</v>
      </c>
      <c r="G15" s="67">
        <f>E15*$D$4</f>
        <v>332.88</v>
      </c>
      <c r="H15" s="102">
        <f>G15*3</f>
        <v>998.64</v>
      </c>
      <c r="I15" s="116">
        <f>E15*$D$6</f>
        <v>2123.424</v>
      </c>
      <c r="J15" s="103">
        <f>I15/2000</f>
        <v>1.061712</v>
      </c>
      <c r="K15" s="102">
        <f>$D$7*J15</f>
        <v>5.839416</v>
      </c>
    </row>
    <row r="16" spans="1:11" ht="13.5">
      <c r="A16" s="95"/>
      <c r="B16" s="96">
        <f>C16/$D$5</f>
        <v>1.3134851138353765</v>
      </c>
      <c r="C16" s="8">
        <v>150</v>
      </c>
      <c r="D16" s="8">
        <f>C16*(24*365/1000)/12</f>
        <v>109.5</v>
      </c>
      <c r="E16" s="8">
        <f>D16*12</f>
        <v>1314</v>
      </c>
      <c r="F16" s="67">
        <f>D16*$D$4</f>
        <v>20.805</v>
      </c>
      <c r="G16" s="67">
        <f>E16*$D$4</f>
        <v>249.66</v>
      </c>
      <c r="H16" s="102">
        <f>G16*3</f>
        <v>748.98</v>
      </c>
      <c r="I16" s="116">
        <f>E16*$D$6</f>
        <v>1592.568</v>
      </c>
      <c r="J16" s="103">
        <f>I16/2000</f>
        <v>0.796284</v>
      </c>
      <c r="K16" s="102">
        <f>$D$7*J16</f>
        <v>4.379562</v>
      </c>
    </row>
    <row r="17" spans="1:11" ht="13.5">
      <c r="A17" s="95" t="s">
        <v>186</v>
      </c>
      <c r="B17" s="95">
        <v>1</v>
      </c>
      <c r="C17" s="113">
        <f>$D$5*B17</f>
        <v>114.2</v>
      </c>
      <c r="D17" s="113">
        <f>C17*(24*365/1000)/12</f>
        <v>83.366</v>
      </c>
      <c r="E17" s="113">
        <f>D17*12</f>
        <v>1000.392</v>
      </c>
      <c r="F17" s="101">
        <f>D17*$D$4</f>
        <v>15.83954</v>
      </c>
      <c r="G17" s="101">
        <f>E17*$D$4</f>
        <v>190.07448000000002</v>
      </c>
      <c r="H17" s="102">
        <f>G17*3</f>
        <v>570.2234400000001</v>
      </c>
      <c r="I17" s="116">
        <f>E17*$D$6</f>
        <v>1212.475104</v>
      </c>
      <c r="J17" s="103">
        <f>I17/2000</f>
        <v>0.6062375520000001</v>
      </c>
      <c r="K17" s="102">
        <f>$D$7*J17</f>
        <v>3.3343065360000006</v>
      </c>
    </row>
    <row r="18" spans="1:11" ht="13.5">
      <c r="A18" s="95" t="s">
        <v>201</v>
      </c>
      <c r="B18" s="96">
        <f>C18/$D$5</f>
        <v>0.8756567425569176</v>
      </c>
      <c r="C18" s="8">
        <v>100</v>
      </c>
      <c r="D18" s="8">
        <f>C18*(24*365/1000)/12</f>
        <v>73</v>
      </c>
      <c r="E18" s="8">
        <f>D18*12</f>
        <v>876</v>
      </c>
      <c r="F18" s="67">
        <f>D18*$D$4</f>
        <v>13.870000000000001</v>
      </c>
      <c r="G18" s="67">
        <f>E18*$D$4</f>
        <v>166.44</v>
      </c>
      <c r="H18" s="102">
        <f>G18*3</f>
        <v>499.32</v>
      </c>
      <c r="I18" s="116">
        <f>E18*$D$6</f>
        <v>1061.712</v>
      </c>
      <c r="J18" s="103">
        <f>I18/2000</f>
        <v>0.530856</v>
      </c>
      <c r="K18" s="102">
        <f>$D$7*J18</f>
        <v>2.919708</v>
      </c>
    </row>
    <row r="19" spans="1:11" ht="13.5">
      <c r="A19" s="96"/>
      <c r="B19" s="96">
        <f>C19/$D$5</f>
        <v>0.5253940455341506</v>
      </c>
      <c r="C19" s="8">
        <v>60</v>
      </c>
      <c r="D19" s="8">
        <f>C19*(24*365/1000)/12</f>
        <v>43.800000000000004</v>
      </c>
      <c r="E19" s="8">
        <f>D19*12</f>
        <v>525.6</v>
      </c>
      <c r="F19" s="67">
        <f>D19*$D$4</f>
        <v>8.322000000000001</v>
      </c>
      <c r="G19" s="67">
        <f>E19*$D$4</f>
        <v>99.864</v>
      </c>
      <c r="H19" s="102">
        <f>G19*3</f>
        <v>299.592</v>
      </c>
      <c r="I19" s="116">
        <f>E19*$D$6</f>
        <v>637.0272</v>
      </c>
      <c r="J19" s="103">
        <f>I19/2000</f>
        <v>0.3185136</v>
      </c>
      <c r="K19" s="102">
        <f>$D$7*J19</f>
        <v>1.7518248</v>
      </c>
    </row>
    <row r="20" spans="1:11" ht="13.5">
      <c r="A20" s="96"/>
      <c r="B20" s="96">
        <f>C20/$D$5</f>
        <v>0.3502626970227671</v>
      </c>
      <c r="C20" s="8">
        <v>40</v>
      </c>
      <c r="D20" s="8">
        <f>C20*(24*365/1000)/12</f>
        <v>29.2</v>
      </c>
      <c r="E20" s="8">
        <f>D20*12</f>
        <v>350.4</v>
      </c>
      <c r="F20" s="67">
        <f>D20*$D$4</f>
        <v>5.548</v>
      </c>
      <c r="G20" s="67">
        <f>E20*$D$4</f>
        <v>66.576</v>
      </c>
      <c r="H20" s="102">
        <f>G20*3</f>
        <v>199.72799999999998</v>
      </c>
      <c r="I20" s="116">
        <f>E20*$D$6</f>
        <v>424.68479999999994</v>
      </c>
      <c r="J20" s="103">
        <f>I20/2000</f>
        <v>0.21234239999999996</v>
      </c>
      <c r="K20" s="102">
        <f>$D$7*J20</f>
        <v>1.1678831999999997</v>
      </c>
    </row>
    <row r="21" spans="1:11" ht="13.5">
      <c r="A21" s="96"/>
      <c r="B21" s="96">
        <f>C21/$D$5</f>
        <v>0.17513134851138354</v>
      </c>
      <c r="C21" s="8">
        <v>20</v>
      </c>
      <c r="D21" s="8">
        <f>C21*(24*365/1000)/12</f>
        <v>14.6</v>
      </c>
      <c r="E21" s="8">
        <f>D21*12</f>
        <v>175.2</v>
      </c>
      <c r="F21" s="67">
        <f>D21*$D$4</f>
        <v>2.774</v>
      </c>
      <c r="G21" s="67">
        <f>E21*$D$4</f>
        <v>33.288</v>
      </c>
      <c r="H21" s="102">
        <f>G21*3</f>
        <v>99.86399999999999</v>
      </c>
      <c r="I21" s="116">
        <f>E21*$D$6</f>
        <v>212.34239999999997</v>
      </c>
      <c r="J21" s="103">
        <f>I21/2000</f>
        <v>0.10617119999999998</v>
      </c>
      <c r="K21" s="102">
        <f>$D$7*J21</f>
        <v>0.5839415999999998</v>
      </c>
    </row>
    <row r="22" spans="1:11" ht="13.5">
      <c r="A22" s="96"/>
      <c r="B22" s="96">
        <f>C22/$D$5</f>
        <v>0.08756567425569177</v>
      </c>
      <c r="C22" s="8">
        <v>10</v>
      </c>
      <c r="D22" s="8">
        <f>C22*(24*365/1000)/12</f>
        <v>7.3</v>
      </c>
      <c r="E22" s="8">
        <f>D22*12</f>
        <v>87.6</v>
      </c>
      <c r="F22" s="67">
        <f>D22*$D$4</f>
        <v>1.387</v>
      </c>
      <c r="G22" s="67">
        <f>E22*$D$4</f>
        <v>16.644</v>
      </c>
      <c r="H22" s="102">
        <f>G22*3</f>
        <v>49.931999999999995</v>
      </c>
      <c r="I22" s="116">
        <f>E22*$D$6</f>
        <v>106.17119999999998</v>
      </c>
      <c r="J22" s="103">
        <f>I22/2000</f>
        <v>0.05308559999999999</v>
      </c>
      <c r="K22" s="102">
        <f>$D$7*J22</f>
        <v>0.2919707999999999</v>
      </c>
    </row>
    <row r="23" spans="1:11" ht="13.5">
      <c r="A23" s="96"/>
      <c r="B23" s="96">
        <f>C23/$D$5</f>
        <v>0.043782837127845885</v>
      </c>
      <c r="C23" s="8">
        <v>5</v>
      </c>
      <c r="D23" s="8">
        <f>C23*(24*365/1000)/12</f>
        <v>3.65</v>
      </c>
      <c r="E23" s="8">
        <f>D23*12</f>
        <v>43.8</v>
      </c>
      <c r="F23" s="67">
        <f>D23*$D$4</f>
        <v>0.6935</v>
      </c>
      <c r="G23" s="67">
        <f>E23*$D$4</f>
        <v>8.322</v>
      </c>
      <c r="H23" s="102">
        <f>G23*3</f>
        <v>24.965999999999998</v>
      </c>
      <c r="I23" s="116">
        <f>E23*$D$6</f>
        <v>53.08559999999999</v>
      </c>
      <c r="J23" s="103">
        <f>I23/2000</f>
        <v>0.026542799999999995</v>
      </c>
      <c r="K23" s="102">
        <f>$D$7*J23</f>
        <v>0.14598539999999996</v>
      </c>
    </row>
    <row r="24" spans="1:11" ht="13.5">
      <c r="A24" s="96"/>
      <c r="B24" s="96">
        <f>C24/$D$5</f>
        <v>0.02626970227670753</v>
      </c>
      <c r="C24" s="8">
        <v>3</v>
      </c>
      <c r="D24" s="8">
        <f>C24*(24*365/1000)/12</f>
        <v>2.19</v>
      </c>
      <c r="E24" s="8">
        <f>D24*12</f>
        <v>26.28</v>
      </c>
      <c r="F24" s="67">
        <f>D24*$D$4</f>
        <v>0.41609999999999997</v>
      </c>
      <c r="G24" s="67">
        <f>E24*$D$4</f>
        <v>4.9932</v>
      </c>
      <c r="H24" s="102">
        <f>G24*3</f>
        <v>14.9796</v>
      </c>
      <c r="I24" s="116">
        <f>E24*$D$6</f>
        <v>31.85136</v>
      </c>
      <c r="J24" s="103">
        <f>I24/2000</f>
        <v>0.01592568</v>
      </c>
      <c r="K24" s="102">
        <f>$D$7*J24</f>
        <v>0.08759124</v>
      </c>
    </row>
    <row r="25" spans="1:11" ht="12.75">
      <c r="A25" s="96"/>
      <c r="B25" s="96">
        <f>C25/$D$5</f>
        <v>0.008756567425569177</v>
      </c>
      <c r="C25" s="8">
        <v>1</v>
      </c>
      <c r="D25" s="8">
        <f>C25*(24*365/1000)/12</f>
        <v>0.73</v>
      </c>
      <c r="E25" s="8">
        <f>D25*12</f>
        <v>8.76</v>
      </c>
      <c r="F25" s="67">
        <f>D25*$D$4</f>
        <v>0.1387</v>
      </c>
      <c r="G25" s="67">
        <f>E25*$D$4</f>
        <v>1.6643999999999999</v>
      </c>
      <c r="H25" s="102">
        <f>G25*3</f>
        <v>4.9932</v>
      </c>
      <c r="I25" s="116">
        <f>E25*$D$6</f>
        <v>10.61712</v>
      </c>
      <c r="J25" s="103">
        <f>I25/2000</f>
        <v>0.00530856</v>
      </c>
      <c r="K25" s="102">
        <f>$D$7*J25</f>
        <v>0.02919708</v>
      </c>
    </row>
  </sheetData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